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iffa\Downloads\"/>
    </mc:Choice>
  </mc:AlternateContent>
  <bookViews>
    <workbookView xWindow="0" yWindow="0" windowWidth="23040" windowHeight="9780" tabRatio="617"/>
  </bookViews>
  <sheets>
    <sheet name="Balance   " sheetId="2" r:id="rId1"/>
    <sheet name="DATA " sheetId="1" r:id="rId2"/>
    <sheet name="Personals balance  " sheetId="6" r:id="rId3"/>
    <sheet name="Individual costs  " sheetId="10" r:id="rId4"/>
    <sheet name="Individual received  " sheetId="19" r:id="rId5"/>
    <sheet name="data ANALYSIS   " sheetId="12" r:id="rId6"/>
    <sheet name="Bank journal  " sheetId="4" r:id="rId7"/>
    <sheet name="Bank reconciliation  " sheetId="5" r:id="rId8"/>
    <sheet name="Cash journal   " sheetId="3" r:id="rId9"/>
    <sheet name="Cash desk closing " sheetId="7" r:id="rId10"/>
    <sheet name="Global data " sheetId="26" r:id="rId11"/>
    <sheet name="Donors table  " sheetId="28" r:id="rId12"/>
    <sheet name="phone credit " sheetId="23" r:id="rId13"/>
  </sheets>
  <definedNames>
    <definedName name="_xlnm._FilterDatabase" localSheetId="6" hidden="1">'Bank journal  '!$A$1:$I$5</definedName>
    <definedName name="_xlnm._FilterDatabase" localSheetId="7" hidden="1">'Bank reconciliation  '!$A$9:$E$54</definedName>
    <definedName name="_xlnm._FilterDatabase" localSheetId="8" hidden="1">'Cash journal   '!$A$1:$J$116</definedName>
    <definedName name="_xlnm._FilterDatabase" localSheetId="1" hidden="1">'DATA '!$A$1:$O$756</definedName>
    <definedName name="_xlnm._FilterDatabase" localSheetId="10" hidden="1">'Global data '!$A$1:$O$929</definedName>
    <definedName name="_xlnm._FilterDatabase" localSheetId="2" hidden="1">'Personals balance  '!$A$154:$F$283</definedName>
    <definedName name="_xlnm.Print_Area" localSheetId="7">'Bank reconciliation  '!$A$1:$E$90</definedName>
  </definedNames>
  <calcPr calcId="191029"/>
  <pivotCaches>
    <pivotCache cacheId="0" r:id="rId14"/>
    <pivotCache cacheId="1" r:id="rId15"/>
    <pivotCache cacheId="2" r:id="rId16"/>
    <pivotCache cacheId="3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41" i="28" l="1"/>
  <c r="M344" i="26"/>
  <c r="F174" i="26"/>
  <c r="F173" i="26"/>
  <c r="F172" i="26"/>
  <c r="F171" i="26"/>
  <c r="F170" i="26"/>
  <c r="F169" i="26"/>
  <c r="F168" i="26"/>
  <c r="F167" i="26"/>
  <c r="F166" i="26"/>
  <c r="F165" i="26"/>
  <c r="F164" i="26"/>
  <c r="F163" i="26"/>
  <c r="F162" i="26"/>
  <c r="F161" i="26"/>
  <c r="F160" i="26"/>
  <c r="F159" i="26"/>
  <c r="F158" i="26"/>
  <c r="F157" i="26"/>
  <c r="F156" i="26"/>
  <c r="F155" i="26"/>
  <c r="F154" i="26"/>
  <c r="F153" i="26"/>
  <c r="F152" i="26"/>
  <c r="F151" i="26"/>
  <c r="F150" i="26"/>
  <c r="F149" i="26"/>
  <c r="F148" i="26"/>
  <c r="F147" i="26"/>
  <c r="F146" i="26"/>
  <c r="F145" i="26"/>
  <c r="F144" i="26"/>
  <c r="F143" i="26"/>
  <c r="F142" i="26"/>
  <c r="F141" i="26"/>
  <c r="F140" i="26"/>
  <c r="F139" i="26"/>
  <c r="F138" i="26"/>
  <c r="F137" i="26"/>
  <c r="F136" i="26"/>
  <c r="F135" i="26"/>
  <c r="F134" i="26"/>
  <c r="F133" i="26"/>
  <c r="F132" i="26"/>
  <c r="F131" i="26"/>
  <c r="F130" i="26"/>
  <c r="F129" i="26"/>
  <c r="F128" i="26"/>
  <c r="F127" i="26"/>
  <c r="F126" i="26"/>
  <c r="F125" i="26"/>
  <c r="F124" i="26"/>
  <c r="F123" i="26"/>
  <c r="F122" i="26"/>
  <c r="F121" i="26"/>
  <c r="F120" i="26"/>
  <c r="F119" i="26"/>
  <c r="F118" i="26"/>
  <c r="F117" i="26"/>
  <c r="F116" i="26"/>
  <c r="F115" i="26"/>
  <c r="F114" i="26"/>
  <c r="F113" i="26"/>
  <c r="F112" i="26"/>
  <c r="F111" i="26"/>
  <c r="F110" i="26"/>
  <c r="F109" i="26"/>
  <c r="F108" i="26"/>
  <c r="F107" i="26"/>
  <c r="F106" i="26"/>
  <c r="F105" i="26"/>
  <c r="F104" i="26"/>
  <c r="F103" i="26"/>
  <c r="F102" i="26"/>
  <c r="F101" i="26"/>
  <c r="F100" i="26"/>
  <c r="F99" i="26"/>
  <c r="F98" i="26"/>
  <c r="F97" i="26"/>
  <c r="F96" i="26"/>
  <c r="F95" i="26"/>
  <c r="F94" i="26"/>
  <c r="F93" i="26"/>
  <c r="F92" i="26"/>
  <c r="F91" i="26"/>
  <c r="F90" i="26"/>
  <c r="F89" i="26"/>
  <c r="F88" i="26"/>
  <c r="F87" i="26"/>
  <c r="F86" i="26"/>
  <c r="F85" i="26"/>
  <c r="F84" i="26"/>
  <c r="F83" i="26"/>
  <c r="F82" i="26"/>
  <c r="F81" i="26"/>
  <c r="F80" i="26"/>
  <c r="F79" i="26"/>
  <c r="F78" i="26"/>
  <c r="F77" i="26"/>
  <c r="F76" i="26"/>
  <c r="F75" i="26"/>
  <c r="F74" i="26"/>
  <c r="F73" i="26"/>
  <c r="F72" i="26"/>
  <c r="F71" i="26"/>
  <c r="F70" i="26"/>
  <c r="F69" i="26"/>
  <c r="F68" i="26"/>
  <c r="F67" i="26"/>
  <c r="F66" i="26"/>
  <c r="F65" i="26"/>
  <c r="F64" i="26"/>
  <c r="F63" i="26"/>
  <c r="F62" i="26"/>
  <c r="F61" i="26"/>
  <c r="F60" i="26"/>
  <c r="F59" i="26"/>
  <c r="F58" i="26"/>
  <c r="F57" i="26"/>
  <c r="F56" i="26"/>
  <c r="F55" i="26"/>
  <c r="F54" i="26"/>
  <c r="F53" i="26"/>
  <c r="F52" i="26"/>
  <c r="F51" i="26"/>
  <c r="F50" i="26"/>
  <c r="F49" i="26"/>
  <c r="F48" i="26"/>
  <c r="F47" i="26"/>
  <c r="F46" i="26"/>
  <c r="F45" i="26"/>
  <c r="F44" i="26"/>
  <c r="F43" i="26"/>
  <c r="F42" i="26"/>
  <c r="F41" i="26"/>
  <c r="F40" i="26"/>
  <c r="F39" i="26"/>
  <c r="F38" i="26"/>
  <c r="F37" i="26"/>
  <c r="F36" i="26"/>
  <c r="F35" i="26"/>
  <c r="F34" i="26"/>
  <c r="F33" i="26"/>
  <c r="F32" i="26"/>
  <c r="F31" i="26"/>
  <c r="F30" i="26"/>
  <c r="F29" i="26"/>
  <c r="F28" i="26"/>
  <c r="F27" i="26"/>
  <c r="F26" i="26"/>
  <c r="F25" i="26"/>
  <c r="F24" i="26"/>
  <c r="F23" i="26"/>
  <c r="F22" i="26"/>
  <c r="F21" i="26"/>
  <c r="F20" i="26"/>
  <c r="F19" i="26"/>
  <c r="F18" i="26"/>
  <c r="F17" i="26"/>
  <c r="F16" i="26"/>
  <c r="F15" i="26"/>
  <c r="F14" i="26"/>
  <c r="F13" i="26"/>
  <c r="F12" i="26"/>
  <c r="F11" i="26"/>
  <c r="F10" i="26"/>
  <c r="F9" i="26"/>
  <c r="F8" i="26"/>
  <c r="F7" i="26"/>
  <c r="F6" i="26"/>
  <c r="F5" i="26"/>
  <c r="F4" i="26"/>
  <c r="F3" i="26"/>
  <c r="F2" i="26"/>
  <c r="F929" i="26"/>
  <c r="F928" i="26"/>
  <c r="F927" i="26"/>
  <c r="F926" i="26"/>
  <c r="F925" i="26"/>
  <c r="F924" i="26"/>
  <c r="F923" i="26"/>
  <c r="F922" i="26"/>
  <c r="F921" i="26"/>
  <c r="F920" i="26"/>
  <c r="F919" i="26"/>
  <c r="F918" i="26"/>
  <c r="F917" i="26"/>
  <c r="F916" i="26"/>
  <c r="F915" i="26"/>
  <c r="F914" i="26"/>
  <c r="F913" i="26"/>
  <c r="F912" i="26"/>
  <c r="F911" i="26"/>
  <c r="F910" i="26"/>
  <c r="F909" i="26"/>
  <c r="F908" i="26"/>
  <c r="F907" i="26"/>
  <c r="F906" i="26"/>
  <c r="F905" i="26"/>
  <c r="F904" i="26"/>
  <c r="F903" i="26"/>
  <c r="F902" i="26"/>
  <c r="F901" i="26"/>
  <c r="F900" i="26"/>
  <c r="F899" i="26"/>
  <c r="F898" i="26"/>
  <c r="F897" i="26"/>
  <c r="F896" i="26"/>
  <c r="F895" i="26"/>
  <c r="F894" i="26"/>
  <c r="F893" i="26"/>
  <c r="F892" i="26"/>
  <c r="F891" i="26"/>
  <c r="F890" i="26"/>
  <c r="F889" i="26"/>
  <c r="F888" i="26"/>
  <c r="F887" i="26"/>
  <c r="F886" i="26"/>
  <c r="F885" i="26"/>
  <c r="F884" i="26"/>
  <c r="F883" i="26"/>
  <c r="F882" i="26"/>
  <c r="F881" i="26"/>
  <c r="F880" i="26"/>
  <c r="F879" i="26"/>
  <c r="F878" i="26"/>
  <c r="F877" i="26"/>
  <c r="F876" i="26"/>
  <c r="F875" i="26"/>
  <c r="F874" i="26"/>
  <c r="F873" i="26"/>
  <c r="F872" i="26"/>
  <c r="F871" i="26"/>
  <c r="F870" i="26"/>
  <c r="F869" i="26"/>
  <c r="F868" i="26"/>
  <c r="F867" i="26"/>
  <c r="F866" i="26"/>
  <c r="F865" i="26"/>
  <c r="F864" i="26"/>
  <c r="F863" i="26"/>
  <c r="F862" i="26"/>
  <c r="F861" i="26"/>
  <c r="F860" i="26"/>
  <c r="F859" i="26"/>
  <c r="F858" i="26"/>
  <c r="F857" i="26"/>
  <c r="F856" i="26"/>
  <c r="F855" i="26"/>
  <c r="F854" i="26"/>
  <c r="F853" i="26"/>
  <c r="F852" i="26"/>
  <c r="F851" i="26"/>
  <c r="F850" i="26"/>
  <c r="F849" i="26"/>
  <c r="F848" i="26"/>
  <c r="F847" i="26"/>
  <c r="F846" i="26"/>
  <c r="F845" i="26"/>
  <c r="F844" i="26"/>
  <c r="F843" i="26"/>
  <c r="F842" i="26"/>
  <c r="F841" i="26"/>
  <c r="F840" i="26"/>
  <c r="F839" i="26"/>
  <c r="F838" i="26"/>
  <c r="F837" i="26"/>
  <c r="F836" i="26"/>
  <c r="F835" i="26"/>
  <c r="F834" i="26"/>
  <c r="F833" i="26"/>
  <c r="F832" i="26"/>
  <c r="F831" i="26"/>
  <c r="F830" i="26"/>
  <c r="F829" i="26"/>
  <c r="F828" i="26"/>
  <c r="F827" i="26"/>
  <c r="F826" i="26"/>
  <c r="F825" i="26"/>
  <c r="F824" i="26"/>
  <c r="F823" i="26"/>
  <c r="F822" i="26"/>
  <c r="F821" i="26"/>
  <c r="F820" i="26"/>
  <c r="F819" i="26"/>
  <c r="F818" i="26"/>
  <c r="F817" i="26"/>
  <c r="F816" i="26"/>
  <c r="F815" i="26"/>
  <c r="F814" i="26"/>
  <c r="F813" i="26"/>
  <c r="F812" i="26"/>
  <c r="F811" i="26"/>
  <c r="F810" i="26"/>
  <c r="F809" i="26"/>
  <c r="F808" i="26"/>
  <c r="F807" i="26"/>
  <c r="F806" i="26"/>
  <c r="F805" i="26"/>
  <c r="F804" i="26"/>
  <c r="F803" i="26"/>
  <c r="F802" i="26"/>
  <c r="F801" i="26"/>
  <c r="F800" i="26"/>
  <c r="F799" i="26"/>
  <c r="F798" i="26"/>
  <c r="F797" i="26"/>
  <c r="F796" i="26"/>
  <c r="F795" i="26"/>
  <c r="F794" i="26"/>
  <c r="F793" i="26"/>
  <c r="F792" i="26"/>
  <c r="F791" i="26"/>
  <c r="F790" i="26"/>
  <c r="F789" i="26"/>
  <c r="F788" i="26"/>
  <c r="F787" i="26"/>
  <c r="F786" i="26"/>
  <c r="F785" i="26"/>
  <c r="F784" i="26"/>
  <c r="F783" i="26"/>
  <c r="F782" i="26"/>
  <c r="F781" i="26"/>
  <c r="F780" i="26"/>
  <c r="F779" i="26"/>
  <c r="F778" i="26"/>
  <c r="F777" i="26"/>
  <c r="F776" i="26"/>
  <c r="F775" i="26"/>
  <c r="F774" i="26"/>
  <c r="F773" i="26"/>
  <c r="F772" i="26"/>
  <c r="F771" i="26"/>
  <c r="F770" i="26"/>
  <c r="F769" i="26"/>
  <c r="F768" i="26"/>
  <c r="F767" i="26"/>
  <c r="F766" i="26"/>
  <c r="F765" i="26"/>
  <c r="F764" i="26"/>
  <c r="F763" i="26"/>
  <c r="F762" i="26"/>
  <c r="F761" i="26"/>
  <c r="F760" i="26"/>
  <c r="F759" i="26"/>
  <c r="F758" i="26"/>
  <c r="F757" i="26"/>
  <c r="F756" i="26"/>
  <c r="F755" i="26"/>
  <c r="F754" i="26"/>
  <c r="F753" i="26"/>
  <c r="F752" i="26"/>
  <c r="F751" i="26"/>
  <c r="F750" i="26"/>
  <c r="F749" i="26"/>
  <c r="F748" i="26"/>
  <c r="F747" i="26"/>
  <c r="F746" i="26"/>
  <c r="F745" i="26"/>
  <c r="F744" i="26"/>
  <c r="F743" i="26"/>
  <c r="F742" i="26"/>
  <c r="F741" i="26"/>
  <c r="F740" i="26"/>
  <c r="F739" i="26"/>
  <c r="F738" i="26"/>
  <c r="F737" i="26"/>
  <c r="F736" i="26"/>
  <c r="F735" i="26"/>
  <c r="F734" i="26"/>
  <c r="F733" i="26"/>
  <c r="F732" i="26"/>
  <c r="F731" i="26"/>
  <c r="F730" i="26"/>
  <c r="F729" i="26"/>
  <c r="F728" i="26"/>
  <c r="F727" i="26"/>
  <c r="F726" i="26"/>
  <c r="F725" i="26"/>
  <c r="F724" i="26"/>
  <c r="F723" i="26"/>
  <c r="F722" i="26"/>
  <c r="F721" i="26"/>
  <c r="F720" i="26"/>
  <c r="F719" i="26"/>
  <c r="F718" i="26"/>
  <c r="F717" i="26"/>
  <c r="F716" i="26"/>
  <c r="F715" i="26"/>
  <c r="F714" i="26"/>
  <c r="F713" i="26"/>
  <c r="F712" i="26"/>
  <c r="F711" i="26"/>
  <c r="F710" i="26"/>
  <c r="F709" i="26"/>
  <c r="F708" i="26"/>
  <c r="F707" i="26"/>
  <c r="F706" i="26"/>
  <c r="F705" i="26"/>
  <c r="F704" i="26"/>
  <c r="F703" i="26"/>
  <c r="F702" i="26"/>
  <c r="F701" i="26"/>
  <c r="F700" i="26"/>
  <c r="F699" i="26"/>
  <c r="F698" i="26"/>
  <c r="F697" i="26"/>
  <c r="F696" i="26"/>
  <c r="F695" i="26"/>
  <c r="F694" i="26"/>
  <c r="F693" i="26"/>
  <c r="F692" i="26"/>
  <c r="F691" i="26"/>
  <c r="F690" i="26"/>
  <c r="F689" i="26"/>
  <c r="F688" i="26"/>
  <c r="F687" i="26"/>
  <c r="F686" i="26"/>
  <c r="F685" i="26"/>
  <c r="F684" i="26"/>
  <c r="F683" i="26"/>
  <c r="F682" i="26"/>
  <c r="F681" i="26"/>
  <c r="F680" i="26"/>
  <c r="F679" i="26"/>
  <c r="F678" i="26"/>
  <c r="F677" i="26"/>
  <c r="F676" i="26"/>
  <c r="F675" i="26"/>
  <c r="F674" i="26"/>
  <c r="F673" i="26"/>
  <c r="F672" i="26"/>
  <c r="F671" i="26"/>
  <c r="F670" i="26"/>
  <c r="F669" i="26"/>
  <c r="F668" i="26"/>
  <c r="F667" i="26"/>
  <c r="F666" i="26"/>
  <c r="F665" i="26"/>
  <c r="F664" i="26"/>
  <c r="F663" i="26"/>
  <c r="F662" i="26"/>
  <c r="F661" i="26"/>
  <c r="F660" i="26"/>
  <c r="F659" i="26"/>
  <c r="F658" i="26"/>
  <c r="F657" i="26"/>
  <c r="F656" i="26"/>
  <c r="F655" i="26"/>
  <c r="F654" i="26"/>
  <c r="F653" i="26"/>
  <c r="F652" i="26"/>
  <c r="F651" i="26"/>
  <c r="F650" i="26"/>
  <c r="F649" i="26"/>
  <c r="F648" i="26"/>
  <c r="F647" i="26"/>
  <c r="F646" i="26"/>
  <c r="F645" i="26"/>
  <c r="F644" i="26"/>
  <c r="F643" i="26"/>
  <c r="F642" i="26"/>
  <c r="F641" i="26"/>
  <c r="F640" i="26"/>
  <c r="F639" i="26"/>
  <c r="F638" i="26"/>
  <c r="F637" i="26"/>
  <c r="F636" i="26"/>
  <c r="F635" i="26"/>
  <c r="F634" i="26"/>
  <c r="F633" i="26"/>
  <c r="F632" i="26"/>
  <c r="F631" i="26"/>
  <c r="F630" i="26"/>
  <c r="F629" i="26"/>
  <c r="F628" i="26"/>
  <c r="F627" i="26"/>
  <c r="F626" i="26"/>
  <c r="F625" i="26"/>
  <c r="F624" i="26"/>
  <c r="F623" i="26"/>
  <c r="F622" i="26"/>
  <c r="F621" i="26"/>
  <c r="F620" i="26"/>
  <c r="F619" i="26"/>
  <c r="F618" i="26"/>
  <c r="F617" i="26"/>
  <c r="F616" i="26"/>
  <c r="F615" i="26"/>
  <c r="F614" i="26"/>
  <c r="F613" i="26"/>
  <c r="F612" i="26"/>
  <c r="F611" i="26"/>
  <c r="F610" i="26"/>
  <c r="F609" i="26"/>
  <c r="F608" i="26"/>
  <c r="F607" i="26"/>
  <c r="F606" i="26"/>
  <c r="F605" i="26"/>
  <c r="F604" i="26"/>
  <c r="F603" i="26"/>
  <c r="F602" i="26"/>
  <c r="F601" i="26"/>
  <c r="F600" i="26"/>
  <c r="F599" i="26"/>
  <c r="F598" i="26"/>
  <c r="F597" i="26"/>
  <c r="F596" i="26"/>
  <c r="F595" i="26"/>
  <c r="F594" i="26"/>
  <c r="F593" i="26"/>
  <c r="F592" i="26"/>
  <c r="F591" i="26"/>
  <c r="F590" i="26"/>
  <c r="F589" i="26"/>
  <c r="F588" i="26"/>
  <c r="F587" i="26"/>
  <c r="F586" i="26"/>
  <c r="F585" i="26"/>
  <c r="F584" i="26"/>
  <c r="F583" i="26"/>
  <c r="F582" i="26"/>
  <c r="F581" i="26"/>
  <c r="F580" i="26"/>
  <c r="F579" i="26"/>
  <c r="F578" i="26"/>
  <c r="F577" i="26"/>
  <c r="F576" i="26"/>
  <c r="F575" i="26"/>
  <c r="F574" i="26"/>
  <c r="F573" i="26"/>
  <c r="F572" i="26"/>
  <c r="F571" i="26"/>
  <c r="F570" i="26"/>
  <c r="F569" i="26"/>
  <c r="F568" i="26"/>
  <c r="F567" i="26"/>
  <c r="F566" i="26"/>
  <c r="F565" i="26"/>
  <c r="F564" i="26"/>
  <c r="F563" i="26"/>
  <c r="F562" i="26"/>
  <c r="F561" i="26"/>
  <c r="F560" i="26"/>
  <c r="F559" i="26"/>
  <c r="F558" i="26"/>
  <c r="F557" i="26"/>
  <c r="F556" i="26"/>
  <c r="F555" i="26"/>
  <c r="F554" i="26"/>
  <c r="F553" i="26"/>
  <c r="F552" i="26"/>
  <c r="F551" i="26"/>
  <c r="F550" i="26"/>
  <c r="F549" i="26"/>
  <c r="F548" i="26"/>
  <c r="F547" i="26"/>
  <c r="F546" i="26"/>
  <c r="F545" i="26"/>
  <c r="F544" i="26"/>
  <c r="F543" i="26"/>
  <c r="F542" i="26"/>
  <c r="F541" i="26"/>
  <c r="F540" i="26"/>
  <c r="F539" i="26"/>
  <c r="F538" i="26"/>
  <c r="F537" i="26"/>
  <c r="F536" i="26"/>
  <c r="F535" i="26"/>
  <c r="F534" i="26"/>
  <c r="F533" i="26"/>
  <c r="F532" i="26"/>
  <c r="F531" i="26"/>
  <c r="F530" i="26"/>
  <c r="F529" i="26"/>
  <c r="F528" i="26"/>
  <c r="F527" i="26"/>
  <c r="F526" i="26"/>
  <c r="F525" i="26"/>
  <c r="F524" i="26"/>
  <c r="F523" i="26"/>
  <c r="F522" i="26"/>
  <c r="F521" i="26"/>
  <c r="F520" i="26"/>
  <c r="F519" i="26"/>
  <c r="F518" i="26"/>
  <c r="F517" i="26"/>
  <c r="F516" i="26"/>
  <c r="F515" i="26"/>
  <c r="F514" i="26"/>
  <c r="F513" i="26"/>
  <c r="F512" i="26"/>
  <c r="F511" i="26"/>
  <c r="F510" i="26"/>
  <c r="F509" i="26"/>
  <c r="F508" i="26"/>
  <c r="F507" i="26"/>
  <c r="F506" i="26"/>
  <c r="F505" i="26"/>
  <c r="F504" i="26"/>
  <c r="F503" i="26"/>
  <c r="F502" i="26"/>
  <c r="F501" i="26"/>
  <c r="F500" i="26"/>
  <c r="F499" i="26"/>
  <c r="F498" i="26"/>
  <c r="F497" i="26"/>
  <c r="F496" i="26"/>
  <c r="F495" i="26"/>
  <c r="F494" i="26"/>
  <c r="F493" i="26"/>
  <c r="F492" i="26"/>
  <c r="F491" i="26"/>
  <c r="F490" i="26"/>
  <c r="F489" i="26"/>
  <c r="F488" i="26"/>
  <c r="F487" i="26"/>
  <c r="F486" i="26"/>
  <c r="F485" i="26"/>
  <c r="F484" i="26"/>
  <c r="F483" i="26"/>
  <c r="F482" i="26"/>
  <c r="F481" i="26"/>
  <c r="F480" i="26"/>
  <c r="F479" i="26"/>
  <c r="F478" i="26"/>
  <c r="F477" i="26"/>
  <c r="F476" i="26"/>
  <c r="F475" i="26"/>
  <c r="F474" i="26"/>
  <c r="F473" i="26"/>
  <c r="F472" i="26"/>
  <c r="F471" i="26"/>
  <c r="F470" i="26"/>
  <c r="F469" i="26"/>
  <c r="F468" i="26"/>
  <c r="F467" i="26"/>
  <c r="F466" i="26"/>
  <c r="F465" i="26"/>
  <c r="F464" i="26"/>
  <c r="F463" i="26"/>
  <c r="F462" i="26"/>
  <c r="F461" i="26"/>
  <c r="F460" i="26"/>
  <c r="F459" i="26"/>
  <c r="F458" i="26"/>
  <c r="F457" i="26"/>
  <c r="F456" i="26"/>
  <c r="F455" i="26"/>
  <c r="F454" i="26"/>
  <c r="F453" i="26"/>
  <c r="F452" i="26"/>
  <c r="F451" i="26"/>
  <c r="F450" i="26"/>
  <c r="F449" i="26"/>
  <c r="F448" i="26"/>
  <c r="F447" i="26"/>
  <c r="F446" i="26"/>
  <c r="F445" i="26"/>
  <c r="F444" i="26"/>
  <c r="F443" i="26"/>
  <c r="F442" i="26"/>
  <c r="F441" i="26"/>
  <c r="F440" i="26"/>
  <c r="F439" i="26"/>
  <c r="F438" i="26"/>
  <c r="F437" i="26"/>
  <c r="F436" i="26"/>
  <c r="F435" i="26"/>
  <c r="F434" i="26"/>
  <c r="F433" i="26"/>
  <c r="F432" i="26"/>
  <c r="F431" i="26"/>
  <c r="F430" i="26"/>
  <c r="F429" i="26"/>
  <c r="F428" i="26"/>
  <c r="F427" i="26"/>
  <c r="F426" i="26"/>
  <c r="F425" i="26"/>
  <c r="F424" i="26"/>
  <c r="F423" i="26"/>
  <c r="F422" i="26"/>
  <c r="F421" i="26"/>
  <c r="F420" i="26"/>
  <c r="F419" i="26"/>
  <c r="F418" i="26"/>
  <c r="F417" i="26"/>
  <c r="F416" i="26"/>
  <c r="F415" i="26"/>
  <c r="F414" i="26"/>
  <c r="F413" i="26"/>
  <c r="F412" i="26"/>
  <c r="F411" i="26"/>
  <c r="F410" i="26"/>
  <c r="F409" i="26"/>
  <c r="F408" i="26"/>
  <c r="F407" i="26"/>
  <c r="F406" i="26"/>
  <c r="F405" i="26"/>
  <c r="F404" i="26"/>
  <c r="F403" i="26"/>
  <c r="F402" i="26"/>
  <c r="F401" i="26"/>
  <c r="F400" i="26"/>
  <c r="F399" i="26"/>
  <c r="F398" i="26"/>
  <c r="F397" i="26"/>
  <c r="F396" i="26"/>
  <c r="F395" i="26"/>
  <c r="F394" i="26"/>
  <c r="F393" i="26"/>
  <c r="F392" i="26"/>
  <c r="F391" i="26"/>
  <c r="F390" i="26"/>
  <c r="F389" i="26"/>
  <c r="F388" i="26"/>
  <c r="F387" i="26"/>
  <c r="F386" i="26"/>
  <c r="F385" i="26"/>
  <c r="F384" i="26"/>
  <c r="F383" i="26"/>
  <c r="F382" i="26"/>
  <c r="F381" i="26"/>
  <c r="F380" i="26"/>
  <c r="F379" i="26"/>
  <c r="F378" i="26"/>
  <c r="F377" i="26"/>
  <c r="F376" i="26"/>
  <c r="F375" i="26"/>
  <c r="F374" i="26"/>
  <c r="F373" i="26"/>
  <c r="F372" i="26"/>
  <c r="F371" i="26"/>
  <c r="F370" i="26"/>
  <c r="F369" i="26"/>
  <c r="F368" i="26"/>
  <c r="F367" i="26"/>
  <c r="F366" i="26"/>
  <c r="F365" i="26"/>
  <c r="F364" i="26"/>
  <c r="F363" i="26"/>
  <c r="F362" i="26"/>
  <c r="F361" i="26"/>
  <c r="F360" i="26"/>
  <c r="F359" i="26"/>
  <c r="F358" i="26"/>
  <c r="F357" i="26"/>
  <c r="F356" i="26"/>
  <c r="F355" i="26"/>
  <c r="F354" i="26"/>
  <c r="F353" i="26"/>
  <c r="F352" i="26"/>
  <c r="F351" i="26"/>
  <c r="F350" i="26"/>
  <c r="F349" i="26"/>
  <c r="F348" i="26"/>
  <c r="F347" i="26"/>
  <c r="F346" i="26"/>
  <c r="F345" i="26"/>
  <c r="F344" i="26"/>
  <c r="F343" i="26"/>
  <c r="F342" i="26"/>
  <c r="F341" i="26"/>
  <c r="F340" i="26"/>
  <c r="F339" i="26"/>
  <c r="F338" i="26"/>
  <c r="F337" i="26"/>
  <c r="F336" i="26"/>
  <c r="F335" i="26"/>
  <c r="F334" i="26"/>
  <c r="F333" i="26"/>
  <c r="F332" i="26"/>
  <c r="F331" i="26"/>
  <c r="F330" i="26"/>
  <c r="F329" i="26"/>
  <c r="F328" i="26"/>
  <c r="F327" i="26"/>
  <c r="F326" i="26"/>
  <c r="F325" i="26"/>
  <c r="F324" i="26"/>
  <c r="F323" i="26"/>
  <c r="F322" i="26"/>
  <c r="F321" i="26"/>
  <c r="F320" i="26"/>
  <c r="F319" i="26"/>
  <c r="F318" i="26"/>
  <c r="F317" i="26"/>
  <c r="F316" i="26"/>
  <c r="F315" i="26"/>
  <c r="F314" i="26"/>
  <c r="F313" i="26"/>
  <c r="F312" i="26"/>
  <c r="F311" i="26"/>
  <c r="F310" i="26"/>
  <c r="F309" i="26"/>
  <c r="F308" i="26"/>
  <c r="F307" i="26"/>
  <c r="F306" i="26"/>
  <c r="F305" i="26"/>
  <c r="F304" i="26"/>
  <c r="F303" i="26"/>
  <c r="F302" i="26"/>
  <c r="F301" i="26"/>
  <c r="F300" i="26"/>
  <c r="F299" i="26"/>
  <c r="F298" i="26"/>
  <c r="F297" i="26"/>
  <c r="F296" i="26"/>
  <c r="F295" i="26"/>
  <c r="F294" i="26"/>
  <c r="F293" i="26"/>
  <c r="F292" i="26"/>
  <c r="F291" i="26"/>
  <c r="F290" i="26"/>
  <c r="F289" i="26"/>
  <c r="F288" i="26"/>
  <c r="F287" i="26"/>
  <c r="F286" i="26"/>
  <c r="F285" i="26"/>
  <c r="F284" i="26"/>
  <c r="F283" i="26"/>
  <c r="F282" i="26"/>
  <c r="F281" i="26"/>
  <c r="F280" i="26"/>
  <c r="F279" i="26"/>
  <c r="F278" i="26"/>
  <c r="F277" i="26"/>
  <c r="F276" i="26"/>
  <c r="F275" i="26"/>
  <c r="F274" i="26"/>
  <c r="F273" i="26"/>
  <c r="F272" i="26"/>
  <c r="F271" i="26"/>
  <c r="F270" i="26"/>
  <c r="F269" i="26"/>
  <c r="F268" i="26"/>
  <c r="F267" i="26"/>
  <c r="F266" i="26"/>
  <c r="F265" i="26"/>
  <c r="F264" i="26"/>
  <c r="F263" i="26"/>
  <c r="F262" i="26"/>
  <c r="F261" i="26"/>
  <c r="F260" i="26"/>
  <c r="F259" i="26"/>
  <c r="F258" i="26"/>
  <c r="F257" i="26"/>
  <c r="F256" i="26"/>
  <c r="F255" i="26"/>
  <c r="F254" i="26"/>
  <c r="F253" i="26"/>
  <c r="F252" i="26"/>
  <c r="F251" i="26"/>
  <c r="F250" i="26"/>
  <c r="F249" i="26"/>
  <c r="F248" i="26"/>
  <c r="F247" i="26"/>
  <c r="F246" i="26"/>
  <c r="F245" i="26"/>
  <c r="F244" i="26"/>
  <c r="F243" i="26"/>
  <c r="F242" i="26"/>
  <c r="F241" i="26"/>
  <c r="F240" i="26"/>
  <c r="F239" i="26"/>
  <c r="F238" i="26"/>
  <c r="F237" i="26"/>
  <c r="F236" i="26"/>
  <c r="F235" i="26"/>
  <c r="F234" i="26"/>
  <c r="F233" i="26"/>
  <c r="F232" i="26"/>
  <c r="F231" i="26"/>
  <c r="F230" i="26"/>
  <c r="F229" i="26"/>
  <c r="F228" i="26"/>
  <c r="F227" i="26"/>
  <c r="F226" i="26"/>
  <c r="F225" i="26"/>
  <c r="F224" i="26"/>
  <c r="F223" i="26"/>
  <c r="F222" i="26"/>
  <c r="F221" i="26"/>
  <c r="F220" i="26"/>
  <c r="F219" i="26"/>
  <c r="F218" i="26"/>
  <c r="F217" i="26"/>
  <c r="F216" i="26"/>
  <c r="F215" i="26"/>
  <c r="F214" i="26"/>
  <c r="F213" i="26"/>
  <c r="F212" i="26"/>
  <c r="F211" i="26"/>
  <c r="F210" i="26"/>
  <c r="F209" i="26"/>
  <c r="F208" i="26"/>
  <c r="F207" i="26"/>
  <c r="F206" i="26"/>
  <c r="F205" i="26"/>
  <c r="F204" i="26"/>
  <c r="F203" i="26"/>
  <c r="F202" i="26"/>
  <c r="F201" i="26"/>
  <c r="F200" i="26"/>
  <c r="F199" i="26"/>
  <c r="F198" i="26"/>
  <c r="F197" i="26"/>
  <c r="F196" i="26"/>
  <c r="F195" i="26"/>
  <c r="F194" i="26"/>
  <c r="F193" i="26"/>
  <c r="F192" i="26"/>
  <c r="F191" i="26"/>
  <c r="F190" i="26"/>
  <c r="F189" i="26"/>
  <c r="F188" i="26"/>
  <c r="F187" i="26"/>
  <c r="F186" i="26"/>
  <c r="F185" i="26"/>
  <c r="F184" i="26"/>
  <c r="F183" i="26"/>
  <c r="F182" i="26"/>
  <c r="F181" i="26"/>
  <c r="F180" i="26"/>
  <c r="F179" i="26"/>
  <c r="F178" i="26"/>
  <c r="F177" i="26"/>
  <c r="F176" i="26"/>
  <c r="F175" i="26"/>
  <c r="G16" i="28"/>
  <c r="F70" i="28"/>
  <c r="G70" i="28"/>
  <c r="F17" i="28"/>
  <c r="E4" i="28"/>
  <c r="D4" i="28"/>
  <c r="F30" i="28"/>
  <c r="G30" i="28"/>
  <c r="G69" i="28"/>
  <c r="F16" i="28"/>
  <c r="G29" i="28"/>
  <c r="F29" i="28"/>
  <c r="F69" i="28"/>
  <c r="G17" i="28"/>
  <c r="F105" i="6" l="1"/>
  <c r="D15" i="2"/>
  <c r="D14" i="2"/>
  <c r="E14" i="2"/>
  <c r="E15" i="2"/>
  <c r="D2" i="23" l="1"/>
  <c r="D3" i="23" s="1"/>
  <c r="D4" i="23" s="1"/>
  <c r="D5" i="23" s="1"/>
  <c r="D6" i="23" s="1"/>
  <c r="D7" i="23" s="1"/>
  <c r="D8" i="23" s="1"/>
  <c r="D9" i="23" s="1"/>
  <c r="D10" i="23" s="1"/>
  <c r="D11" i="23" s="1"/>
  <c r="D12" i="23" s="1"/>
  <c r="D13" i="23" s="1"/>
  <c r="D14" i="23" s="1"/>
  <c r="D15" i="23" s="1"/>
  <c r="D16" i="23" s="1"/>
  <c r="D17" i="23" s="1"/>
  <c r="D18" i="23" s="1"/>
  <c r="D19" i="23" s="1"/>
  <c r="D20" i="23" s="1"/>
  <c r="D21" i="23" s="1"/>
  <c r="D22" i="23" s="1"/>
  <c r="D23" i="23" s="1"/>
  <c r="D24" i="23" s="1"/>
  <c r="D25" i="23" s="1"/>
  <c r="D26" i="23" s="1"/>
  <c r="D27" i="23" s="1"/>
  <c r="D28" i="23" s="1"/>
  <c r="D29" i="23" s="1"/>
  <c r="D30" i="23" s="1"/>
  <c r="D31" i="23" s="1"/>
  <c r="D32" i="23" s="1"/>
  <c r="D33" i="23" s="1"/>
  <c r="D34" i="23" s="1"/>
  <c r="D35" i="23" s="1"/>
  <c r="D36" i="23" s="1"/>
  <c r="D37" i="23" s="1"/>
  <c r="D38" i="23" s="1"/>
  <c r="D39" i="23" s="1"/>
  <c r="D40" i="23" s="1"/>
  <c r="D41" i="23" s="1"/>
  <c r="D42" i="23" s="1"/>
  <c r="M171" i="1"/>
  <c r="D19" i="2" s="1"/>
  <c r="F29" i="1"/>
  <c r="F30" i="1"/>
  <c r="F31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471" i="1"/>
  <c r="F609" i="1"/>
  <c r="F610" i="1"/>
  <c r="F611" i="1"/>
  <c r="F612" i="1"/>
  <c r="F613" i="1"/>
  <c r="F614" i="1"/>
  <c r="F615" i="1"/>
  <c r="F723" i="1"/>
  <c r="M9" i="2"/>
  <c r="M8" i="2"/>
  <c r="M5" i="2"/>
  <c r="M13" i="2"/>
  <c r="M3" i="2"/>
  <c r="M10" i="2"/>
  <c r="M16" i="2"/>
  <c r="G10" i="2"/>
  <c r="M12" i="2"/>
  <c r="E8" i="2"/>
  <c r="E9" i="2"/>
  <c r="E3" i="2"/>
  <c r="E13" i="2"/>
  <c r="E16" i="2"/>
  <c r="E10" i="2"/>
  <c r="F246" i="1" l="1"/>
  <c r="F247" i="1"/>
  <c r="F277" i="1"/>
  <c r="F278" i="1"/>
  <c r="F279" i="1"/>
  <c r="F280" i="1"/>
  <c r="F281" i="1"/>
  <c r="F282" i="1"/>
  <c r="F305" i="1"/>
  <c r="F306" i="1"/>
  <c r="F307" i="1"/>
  <c r="F308" i="1"/>
  <c r="F345" i="1"/>
  <c r="F346" i="1"/>
  <c r="F347" i="1"/>
  <c r="F348" i="1"/>
  <c r="F349" i="1"/>
  <c r="F350" i="1"/>
  <c r="F351" i="1"/>
  <c r="F352" i="1"/>
  <c r="F353" i="1"/>
  <c r="F354" i="1"/>
  <c r="F355" i="1"/>
  <c r="F375" i="1"/>
  <c r="F376" i="1"/>
  <c r="F377" i="1"/>
  <c r="F378" i="1"/>
  <c r="F379" i="1"/>
  <c r="F380" i="1"/>
  <c r="F381" i="1"/>
  <c r="F418" i="1"/>
  <c r="F419" i="1"/>
  <c r="F420" i="1"/>
  <c r="F421" i="1"/>
  <c r="F452" i="1"/>
  <c r="F453" i="1"/>
  <c r="F454" i="1"/>
  <c r="F491" i="1"/>
  <c r="F492" i="1"/>
  <c r="F493" i="1"/>
  <c r="F504" i="1"/>
  <c r="F505" i="1"/>
  <c r="F506" i="1"/>
  <c r="F510" i="1"/>
  <c r="F511" i="1"/>
  <c r="F522" i="1"/>
  <c r="F523" i="1"/>
  <c r="F524" i="1"/>
  <c r="F525" i="1"/>
  <c r="F526" i="1"/>
  <c r="F527" i="1"/>
  <c r="F528" i="1"/>
  <c r="F529" i="1"/>
  <c r="F530" i="1"/>
  <c r="F531" i="1"/>
  <c r="F552" i="1"/>
  <c r="F553" i="1"/>
  <c r="F554" i="1"/>
  <c r="F555" i="1"/>
  <c r="F556" i="1"/>
  <c r="F557" i="1"/>
  <c r="F577" i="1"/>
  <c r="F578" i="1"/>
  <c r="F595" i="1"/>
  <c r="F596" i="1"/>
  <c r="F597" i="1"/>
  <c r="F598" i="1"/>
  <c r="F636" i="1"/>
  <c r="F637" i="1"/>
  <c r="F638" i="1"/>
  <c r="F639" i="1"/>
  <c r="F640" i="1"/>
  <c r="F666" i="1"/>
  <c r="F667" i="1"/>
  <c r="F668" i="1"/>
  <c r="F669" i="1"/>
  <c r="F670" i="1"/>
  <c r="F671" i="1"/>
  <c r="F672" i="1"/>
  <c r="F673" i="1"/>
  <c r="F166" i="1"/>
  <c r="F167" i="1"/>
  <c r="F67" i="1"/>
  <c r="F168" i="1"/>
  <c r="F206" i="1"/>
  <c r="F207" i="1"/>
  <c r="F208" i="1"/>
  <c r="F209" i="1"/>
  <c r="F210" i="1"/>
  <c r="F455" i="1"/>
  <c r="F558" i="1"/>
  <c r="F579" i="1"/>
  <c r="F580" i="1"/>
  <c r="F581" i="1"/>
  <c r="F599" i="1"/>
  <c r="F600" i="1"/>
  <c r="F601" i="1"/>
  <c r="F641" i="1"/>
  <c r="F642" i="1"/>
  <c r="F643" i="1"/>
  <c r="F644" i="1"/>
  <c r="F645" i="1"/>
  <c r="F674" i="1"/>
  <c r="F675" i="1"/>
  <c r="F676" i="1"/>
  <c r="F677" i="1"/>
  <c r="F678" i="1"/>
  <c r="F694" i="1"/>
  <c r="F695" i="1"/>
  <c r="F696" i="1"/>
  <c r="F718" i="1"/>
  <c r="F719" i="1"/>
  <c r="F720" i="1"/>
  <c r="F748" i="1"/>
  <c r="F749" i="1"/>
  <c r="F750" i="1"/>
  <c r="F68" i="1"/>
  <c r="F169" i="1"/>
  <c r="F211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82" i="1"/>
  <c r="F383" i="1"/>
  <c r="F384" i="1"/>
  <c r="F385" i="1"/>
  <c r="F386" i="1"/>
  <c r="F387" i="1"/>
  <c r="F388" i="1"/>
  <c r="F389" i="1"/>
  <c r="F390" i="1"/>
  <c r="F391" i="1"/>
  <c r="F392" i="1"/>
  <c r="F456" i="1"/>
  <c r="F559" i="1"/>
  <c r="F602" i="1"/>
  <c r="F721" i="1"/>
  <c r="F751" i="1"/>
  <c r="F752" i="1"/>
  <c r="F753" i="1"/>
  <c r="F69" i="1"/>
  <c r="F70" i="1"/>
  <c r="F71" i="1"/>
  <c r="F72" i="1"/>
  <c r="F170" i="1"/>
  <c r="F212" i="1"/>
  <c r="F248" i="1"/>
  <c r="F249" i="1"/>
  <c r="F250" i="1"/>
  <c r="F283" i="1"/>
  <c r="F284" i="1"/>
  <c r="F285" i="1"/>
  <c r="F286" i="1"/>
  <c r="F457" i="1"/>
  <c r="F560" i="1"/>
  <c r="F561" i="1"/>
  <c r="F582" i="1"/>
  <c r="F583" i="1"/>
  <c r="F584" i="1"/>
  <c r="F603" i="1"/>
  <c r="F604" i="1"/>
  <c r="F605" i="1"/>
  <c r="F606" i="1"/>
  <c r="F607" i="1"/>
  <c r="F608" i="1"/>
  <c r="F646" i="1"/>
  <c r="F647" i="1"/>
  <c r="F648" i="1"/>
  <c r="F649" i="1"/>
  <c r="F650" i="1"/>
  <c r="F651" i="1"/>
  <c r="F652" i="1"/>
  <c r="F653" i="1"/>
  <c r="F654" i="1"/>
  <c r="F679" i="1"/>
  <c r="F680" i="1"/>
  <c r="F681" i="1"/>
  <c r="F722" i="1"/>
  <c r="F754" i="1"/>
  <c r="F755" i="1"/>
  <c r="F756" i="1"/>
  <c r="H580" i="6"/>
  <c r="H581" i="6" s="1"/>
  <c r="H582" i="6" s="1"/>
  <c r="H583" i="6" s="1"/>
  <c r="H584" i="6" s="1"/>
  <c r="H585" i="6" s="1"/>
  <c r="H586" i="6" s="1"/>
  <c r="H587" i="6" s="1"/>
  <c r="H588" i="6" s="1"/>
  <c r="H589" i="6" s="1"/>
  <c r="H590" i="6" s="1"/>
  <c r="H591" i="6" s="1"/>
  <c r="H592" i="6" s="1"/>
  <c r="H593" i="6" s="1"/>
  <c r="H594" i="6" s="1"/>
  <c r="H595" i="6" s="1"/>
  <c r="H596" i="6" s="1"/>
  <c r="H597" i="6" s="1"/>
  <c r="H598" i="6" s="1"/>
  <c r="H599" i="6" s="1"/>
  <c r="H600" i="6" s="1"/>
  <c r="H601" i="6" s="1"/>
  <c r="H602" i="6" s="1"/>
  <c r="H603" i="6" s="1"/>
  <c r="H604" i="6" s="1"/>
  <c r="H605" i="6" s="1"/>
  <c r="H606" i="6" s="1"/>
  <c r="H607" i="6" s="1"/>
  <c r="H608" i="6" s="1"/>
  <c r="H609" i="6" s="1"/>
  <c r="H610" i="6" s="1"/>
  <c r="H611" i="6" s="1"/>
  <c r="H612" i="6" s="1"/>
  <c r="H613" i="6" s="1"/>
  <c r="H614" i="6" s="1"/>
  <c r="H615" i="6" s="1"/>
  <c r="H616" i="6" s="1"/>
  <c r="H617" i="6" s="1"/>
  <c r="H618" i="6" s="1"/>
  <c r="H619" i="6" s="1"/>
  <c r="H620" i="6" s="1"/>
  <c r="H621" i="6" s="1"/>
  <c r="H622" i="6" s="1"/>
  <c r="H623" i="6" s="1"/>
  <c r="H624" i="6" s="1"/>
  <c r="H625" i="6" s="1"/>
  <c r="H626" i="6" s="1"/>
  <c r="H627" i="6" s="1"/>
  <c r="H628" i="6" s="1"/>
  <c r="H629" i="6" s="1"/>
  <c r="H630" i="6" s="1"/>
  <c r="H631" i="6" s="1"/>
  <c r="H632" i="6" s="1"/>
  <c r="H633" i="6" s="1"/>
  <c r="H634" i="6" s="1"/>
  <c r="H635" i="6" s="1"/>
  <c r="H636" i="6" s="1"/>
  <c r="H637" i="6" s="1"/>
  <c r="H638" i="6" s="1"/>
  <c r="H639" i="6" s="1"/>
  <c r="H640" i="6" s="1"/>
  <c r="H641" i="6" s="1"/>
  <c r="H642" i="6" s="1"/>
  <c r="H643" i="6" s="1"/>
  <c r="H644" i="6" s="1"/>
  <c r="H645" i="6" s="1"/>
  <c r="H646" i="6" s="1"/>
  <c r="H647" i="6" s="1"/>
  <c r="H648" i="6" s="1"/>
  <c r="H649" i="6" s="1"/>
  <c r="H650" i="6" s="1"/>
  <c r="H651" i="6" s="1"/>
  <c r="H652" i="6" s="1"/>
  <c r="H653" i="6" s="1"/>
  <c r="H654" i="6" s="1"/>
  <c r="H655" i="6" s="1"/>
  <c r="H656" i="6" s="1"/>
  <c r="H657" i="6" s="1"/>
  <c r="H658" i="6" s="1"/>
  <c r="H659" i="6" s="1"/>
  <c r="H660" i="6" s="1"/>
  <c r="H661" i="6" s="1"/>
  <c r="H662" i="6" s="1"/>
  <c r="H663" i="6" s="1"/>
  <c r="H664" i="6" s="1"/>
  <c r="H665" i="6" s="1"/>
  <c r="H666" i="6" s="1"/>
  <c r="H667" i="6" s="1"/>
  <c r="H668" i="6" s="1"/>
  <c r="H669" i="6" s="1"/>
  <c r="H670" i="6" s="1"/>
  <c r="H671" i="6" s="1"/>
  <c r="H672" i="6" s="1"/>
  <c r="H673" i="6" s="1"/>
  <c r="H674" i="6" s="1"/>
  <c r="H675" i="6" s="1"/>
  <c r="H676" i="6" s="1"/>
  <c r="H677" i="6" s="1"/>
  <c r="H678" i="6" s="1"/>
  <c r="H679" i="6" s="1"/>
  <c r="H680" i="6" s="1"/>
  <c r="H681" i="6" s="1"/>
  <c r="H682" i="6" s="1"/>
  <c r="H683" i="6" s="1"/>
  <c r="H684" i="6" s="1"/>
  <c r="H685" i="6" s="1"/>
  <c r="H686" i="6" s="1"/>
  <c r="H687" i="6" s="1"/>
  <c r="H688" i="6" s="1"/>
  <c r="H689" i="6" s="1"/>
  <c r="H690" i="6" s="1"/>
  <c r="H691" i="6" s="1"/>
  <c r="H692" i="6" s="1"/>
  <c r="H693" i="6" s="1"/>
  <c r="H694" i="6" s="1"/>
  <c r="H695" i="6" s="1"/>
  <c r="H696" i="6" s="1"/>
  <c r="H697" i="6" s="1"/>
  <c r="H698" i="6" s="1"/>
  <c r="H699" i="6" s="1"/>
  <c r="H700" i="6" s="1"/>
  <c r="H701" i="6" s="1"/>
  <c r="H702" i="6" s="1"/>
  <c r="H703" i="6" s="1"/>
  <c r="H704" i="6" s="1"/>
  <c r="H705" i="6" s="1"/>
  <c r="H706" i="6" s="1"/>
  <c r="H707" i="6" s="1"/>
  <c r="H708" i="6" s="1"/>
  <c r="H709" i="6" s="1"/>
  <c r="H710" i="6" s="1"/>
  <c r="H711" i="6" s="1"/>
  <c r="H712" i="6" s="1"/>
  <c r="H713" i="6" s="1"/>
  <c r="H714" i="6" s="1"/>
  <c r="H715" i="6" s="1"/>
  <c r="H716" i="6" s="1"/>
  <c r="H717" i="6" s="1"/>
  <c r="H718" i="6" s="1"/>
  <c r="H719" i="6" s="1"/>
  <c r="H720" i="6" s="1"/>
  <c r="H721" i="6" s="1"/>
  <c r="H722" i="6" s="1"/>
  <c r="H723" i="6" s="1"/>
  <c r="H724" i="6" s="1"/>
  <c r="H725" i="6" s="1"/>
  <c r="H726" i="6" s="1"/>
  <c r="H727" i="6" s="1"/>
  <c r="H728" i="6" s="1"/>
  <c r="F426" i="1"/>
  <c r="F536" i="1"/>
  <c r="F655" i="1"/>
  <c r="F656" i="1"/>
  <c r="F657" i="1"/>
  <c r="F682" i="1"/>
  <c r="F683" i="1"/>
  <c r="F684" i="1"/>
  <c r="F699" i="1"/>
  <c r="F700" i="1"/>
  <c r="F701" i="1"/>
  <c r="F702" i="1"/>
  <c r="F703" i="1"/>
  <c r="F704" i="1"/>
  <c r="F705" i="1"/>
  <c r="F706" i="1"/>
  <c r="F707" i="1"/>
  <c r="F728" i="1"/>
  <c r="F729" i="1"/>
  <c r="F730" i="1"/>
  <c r="F731" i="1"/>
  <c r="F732" i="1"/>
  <c r="F733" i="1"/>
  <c r="F734" i="1"/>
  <c r="F7" i="1"/>
  <c r="F8" i="1"/>
  <c r="F9" i="1"/>
  <c r="F10" i="1"/>
  <c r="F36" i="1"/>
  <c r="F37" i="1"/>
  <c r="F48" i="1"/>
  <c r="F49" i="1"/>
  <c r="F50" i="1"/>
  <c r="F51" i="1"/>
  <c r="F77" i="1"/>
  <c r="F158" i="1"/>
  <c r="F159" i="1"/>
  <c r="F160" i="1"/>
  <c r="F161" i="1"/>
  <c r="F162" i="1"/>
  <c r="F231" i="1"/>
  <c r="F255" i="1"/>
  <c r="F256" i="1"/>
  <c r="F257" i="1"/>
  <c r="F258" i="1"/>
  <c r="F397" i="1"/>
  <c r="F398" i="1"/>
  <c r="F399" i="1"/>
  <c r="F400" i="1"/>
  <c r="F401" i="1"/>
  <c r="F402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62" i="1"/>
  <c r="F463" i="1"/>
  <c r="F474" i="1"/>
  <c r="F475" i="1"/>
  <c r="F476" i="1"/>
  <c r="F477" i="1"/>
  <c r="F518" i="1"/>
  <c r="F519" i="1"/>
  <c r="F520" i="1"/>
  <c r="F537" i="1"/>
  <c r="F538" i="1"/>
  <c r="F539" i="1"/>
  <c r="F540" i="1"/>
  <c r="F568" i="1"/>
  <c r="F569" i="1"/>
  <c r="F570" i="1"/>
  <c r="F571" i="1"/>
  <c r="F572" i="1"/>
  <c r="F573" i="1"/>
  <c r="F589" i="1"/>
  <c r="F590" i="1"/>
  <c r="F591" i="1"/>
  <c r="F592" i="1"/>
  <c r="F593" i="1"/>
  <c r="F594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708" i="1"/>
  <c r="F709" i="1"/>
  <c r="F710" i="1"/>
  <c r="F711" i="1"/>
  <c r="F712" i="1"/>
  <c r="F713" i="1"/>
  <c r="F714" i="1"/>
  <c r="F715" i="1"/>
  <c r="F735" i="1"/>
  <c r="F736" i="1"/>
  <c r="F737" i="1"/>
  <c r="F52" i="1"/>
  <c r="F78" i="1"/>
  <c r="F79" i="1"/>
  <c r="F80" i="1"/>
  <c r="F81" i="1"/>
  <c r="F82" i="1"/>
  <c r="F83" i="1"/>
  <c r="F84" i="1"/>
  <c r="F104" i="1"/>
  <c r="F105" i="1"/>
  <c r="F106" i="1"/>
  <c r="F107" i="1"/>
  <c r="F108" i="1"/>
  <c r="F109" i="1"/>
  <c r="F125" i="1"/>
  <c r="F126" i="1"/>
  <c r="F127" i="1"/>
  <c r="F128" i="1"/>
  <c r="F129" i="1"/>
  <c r="F130" i="1"/>
  <c r="F163" i="1"/>
  <c r="F190" i="1"/>
  <c r="F191" i="1"/>
  <c r="F192" i="1"/>
  <c r="F193" i="1"/>
  <c r="F232" i="1"/>
  <c r="F233" i="1"/>
  <c r="F234" i="1"/>
  <c r="F235" i="1"/>
  <c r="F236" i="1"/>
  <c r="F237" i="1"/>
  <c r="F259" i="1"/>
  <c r="F260" i="1"/>
  <c r="F261" i="1"/>
  <c r="F262" i="1"/>
  <c r="F263" i="1"/>
  <c r="F264" i="1"/>
  <c r="F290" i="1"/>
  <c r="F291" i="1"/>
  <c r="F292" i="1"/>
  <c r="F293" i="1"/>
  <c r="F294" i="1"/>
  <c r="F295" i="1"/>
  <c r="F296" i="1"/>
  <c r="F297" i="1"/>
  <c r="F331" i="1"/>
  <c r="F332" i="1"/>
  <c r="F333" i="1"/>
  <c r="F334" i="1"/>
  <c r="F335" i="1"/>
  <c r="F336" i="1"/>
  <c r="F337" i="1"/>
  <c r="F338" i="1"/>
  <c r="F339" i="1"/>
  <c r="F360" i="1"/>
  <c r="F361" i="1"/>
  <c r="F362" i="1"/>
  <c r="F363" i="1"/>
  <c r="F364" i="1"/>
  <c r="F365" i="1"/>
  <c r="F366" i="1"/>
  <c r="F367" i="1"/>
  <c r="F403" i="1"/>
  <c r="F404" i="1"/>
  <c r="F405" i="1"/>
  <c r="F406" i="1"/>
  <c r="F439" i="1"/>
  <c r="F440" i="1"/>
  <c r="F464" i="1"/>
  <c r="F465" i="1"/>
  <c r="F466" i="1"/>
  <c r="F478" i="1"/>
  <c r="F479" i="1"/>
  <c r="F480" i="1"/>
  <c r="F481" i="1"/>
  <c r="F482" i="1"/>
  <c r="F483" i="1"/>
  <c r="F484" i="1"/>
  <c r="F485" i="1"/>
  <c r="F486" i="1"/>
  <c r="F494" i="1"/>
  <c r="F495" i="1"/>
  <c r="F496" i="1"/>
  <c r="F497" i="1"/>
  <c r="F541" i="1"/>
  <c r="F542" i="1"/>
  <c r="F543" i="1"/>
  <c r="F544" i="1"/>
  <c r="F545" i="1"/>
  <c r="F546" i="1"/>
  <c r="F547" i="1"/>
  <c r="F548" i="1"/>
  <c r="F658" i="1"/>
  <c r="F659" i="1"/>
  <c r="F660" i="1"/>
  <c r="F661" i="1"/>
  <c r="F662" i="1"/>
  <c r="F663" i="1"/>
  <c r="F685" i="1"/>
  <c r="F686" i="1"/>
  <c r="F687" i="1"/>
  <c r="F688" i="1"/>
  <c r="F689" i="1"/>
  <c r="F690" i="1"/>
  <c r="F738" i="1"/>
  <c r="F739" i="1"/>
  <c r="F740" i="1"/>
  <c r="F741" i="1"/>
  <c r="F742" i="1"/>
  <c r="F11" i="1"/>
  <c r="F12" i="1"/>
  <c r="F13" i="1"/>
  <c r="F14" i="1"/>
  <c r="F15" i="1"/>
  <c r="F16" i="1"/>
  <c r="F17" i="1"/>
  <c r="F18" i="1"/>
  <c r="F19" i="1"/>
  <c r="F20" i="1"/>
  <c r="F21" i="1"/>
  <c r="F22" i="1"/>
  <c r="F53" i="1"/>
  <c r="F54" i="1"/>
  <c r="F55" i="1"/>
  <c r="F56" i="1"/>
  <c r="F57" i="1"/>
  <c r="F58" i="1"/>
  <c r="F59" i="1"/>
  <c r="F60" i="1"/>
  <c r="F85" i="1"/>
  <c r="F86" i="1"/>
  <c r="F87" i="1"/>
  <c r="F88" i="1"/>
  <c r="F89" i="1"/>
  <c r="F90" i="1"/>
  <c r="F91" i="1"/>
  <c r="F92" i="1"/>
  <c r="F93" i="1"/>
  <c r="F110" i="1"/>
  <c r="F111" i="1"/>
  <c r="F112" i="1"/>
  <c r="F113" i="1"/>
  <c r="F114" i="1"/>
  <c r="F131" i="1"/>
  <c r="F132" i="1"/>
  <c r="F133" i="1"/>
  <c r="F134" i="1"/>
  <c r="F135" i="1"/>
  <c r="F136" i="1"/>
  <c r="F137" i="1"/>
  <c r="F138" i="1"/>
  <c r="F145" i="1"/>
  <c r="F146" i="1"/>
  <c r="F147" i="1"/>
  <c r="F194" i="1"/>
  <c r="F195" i="1"/>
  <c r="F196" i="1"/>
  <c r="F197" i="1"/>
  <c r="F198" i="1"/>
  <c r="F199" i="1"/>
  <c r="F200" i="1"/>
  <c r="F238" i="1"/>
  <c r="F239" i="1"/>
  <c r="F240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98" i="1"/>
  <c r="F299" i="1"/>
  <c r="F300" i="1"/>
  <c r="F301" i="1"/>
  <c r="F302" i="1"/>
  <c r="F303" i="1"/>
  <c r="F304" i="1"/>
  <c r="F340" i="1"/>
  <c r="F341" i="1"/>
  <c r="F342" i="1"/>
  <c r="F343" i="1"/>
  <c r="F344" i="1"/>
  <c r="F368" i="1"/>
  <c r="F369" i="1"/>
  <c r="F370" i="1"/>
  <c r="F371" i="1"/>
  <c r="F372" i="1"/>
  <c r="F373" i="1"/>
  <c r="F374" i="1"/>
  <c r="F407" i="1"/>
  <c r="F408" i="1"/>
  <c r="F409" i="1"/>
  <c r="F410" i="1"/>
  <c r="F411" i="1"/>
  <c r="F412" i="1"/>
  <c r="F413" i="1"/>
  <c r="F414" i="1"/>
  <c r="F415" i="1"/>
  <c r="F416" i="1"/>
  <c r="F417" i="1"/>
  <c r="F441" i="1"/>
  <c r="F442" i="1"/>
  <c r="F443" i="1"/>
  <c r="F444" i="1"/>
  <c r="F445" i="1"/>
  <c r="F446" i="1"/>
  <c r="F447" i="1"/>
  <c r="F448" i="1"/>
  <c r="F449" i="1"/>
  <c r="F450" i="1"/>
  <c r="F451" i="1"/>
  <c r="F467" i="1"/>
  <c r="F468" i="1"/>
  <c r="F469" i="1"/>
  <c r="F470" i="1"/>
  <c r="F487" i="1"/>
  <c r="F488" i="1"/>
  <c r="F489" i="1"/>
  <c r="F490" i="1"/>
  <c r="F498" i="1"/>
  <c r="F499" i="1"/>
  <c r="F500" i="1"/>
  <c r="F501" i="1"/>
  <c r="F502" i="1"/>
  <c r="F503" i="1"/>
  <c r="F507" i="1"/>
  <c r="F508" i="1"/>
  <c r="F509" i="1"/>
  <c r="F521" i="1"/>
  <c r="F549" i="1"/>
  <c r="F550" i="1"/>
  <c r="F551" i="1"/>
  <c r="F574" i="1"/>
  <c r="F575" i="1"/>
  <c r="F576" i="1"/>
  <c r="F634" i="1"/>
  <c r="F635" i="1"/>
  <c r="F664" i="1"/>
  <c r="F665" i="1"/>
  <c r="F691" i="1"/>
  <c r="F692" i="1"/>
  <c r="F693" i="1"/>
  <c r="F716" i="1"/>
  <c r="F717" i="1"/>
  <c r="F743" i="1"/>
  <c r="F744" i="1"/>
  <c r="F745" i="1"/>
  <c r="F746" i="1"/>
  <c r="F747" i="1"/>
  <c r="F23" i="1"/>
  <c r="F24" i="1"/>
  <c r="F25" i="1"/>
  <c r="F26" i="1"/>
  <c r="F27" i="1"/>
  <c r="F28" i="1"/>
  <c r="F38" i="1"/>
  <c r="F39" i="1"/>
  <c r="F40" i="1"/>
  <c r="F41" i="1"/>
  <c r="F42" i="1"/>
  <c r="F43" i="1"/>
  <c r="F61" i="1"/>
  <c r="F62" i="1"/>
  <c r="F63" i="1"/>
  <c r="F64" i="1"/>
  <c r="F65" i="1"/>
  <c r="F66" i="1"/>
  <c r="F94" i="1"/>
  <c r="F95" i="1"/>
  <c r="F96" i="1"/>
  <c r="F97" i="1"/>
  <c r="F98" i="1"/>
  <c r="F99" i="1"/>
  <c r="F115" i="1"/>
  <c r="F116" i="1"/>
  <c r="F117" i="1"/>
  <c r="F118" i="1"/>
  <c r="F119" i="1"/>
  <c r="F120" i="1"/>
  <c r="F121" i="1"/>
  <c r="F122" i="1"/>
  <c r="F123" i="1"/>
  <c r="F124" i="1"/>
  <c r="F139" i="1"/>
  <c r="F140" i="1"/>
  <c r="F141" i="1"/>
  <c r="F142" i="1"/>
  <c r="F143" i="1"/>
  <c r="F144" i="1"/>
  <c r="F148" i="1"/>
  <c r="F149" i="1"/>
  <c r="F150" i="1"/>
  <c r="F151" i="1"/>
  <c r="F164" i="1"/>
  <c r="F165" i="1"/>
  <c r="F201" i="1"/>
  <c r="F202" i="1"/>
  <c r="F203" i="1"/>
  <c r="F204" i="1"/>
  <c r="F205" i="1"/>
  <c r="F241" i="1"/>
  <c r="F242" i="1"/>
  <c r="F243" i="1"/>
  <c r="F244" i="1"/>
  <c r="F245" i="1"/>
  <c r="D16" i="2"/>
  <c r="D10" i="2"/>
  <c r="D3" i="2"/>
  <c r="D13" i="2"/>
  <c r="D8" i="2"/>
  <c r="D9" i="2"/>
  <c r="H803" i="6" l="1"/>
  <c r="H804" i="6" s="1"/>
  <c r="H805" i="6" s="1"/>
  <c r="H806" i="6" s="1"/>
  <c r="H807" i="6" s="1"/>
  <c r="H808" i="6" s="1"/>
  <c r="H809" i="6" s="1"/>
  <c r="H810" i="6" s="1"/>
  <c r="H811" i="6" s="1"/>
  <c r="H812" i="6" s="1"/>
  <c r="H813" i="6" s="1"/>
  <c r="H814" i="6" s="1"/>
  <c r="H815" i="6" s="1"/>
  <c r="H816" i="6" s="1"/>
  <c r="H817" i="6" s="1"/>
  <c r="H818" i="6" s="1"/>
  <c r="H819" i="6" s="1"/>
  <c r="H820" i="6" s="1"/>
  <c r="H821" i="6" s="1"/>
  <c r="H822" i="6" s="1"/>
  <c r="H823" i="6" s="1"/>
  <c r="H824" i="6" s="1"/>
  <c r="H825" i="6" s="1"/>
  <c r="H826" i="6" s="1"/>
  <c r="H827" i="6" s="1"/>
  <c r="H828" i="6" s="1"/>
  <c r="H829" i="6" s="1"/>
  <c r="H830" i="6" s="1"/>
  <c r="H831" i="6" s="1"/>
  <c r="H832" i="6" s="1"/>
  <c r="H833" i="6" s="1"/>
  <c r="H834" i="6" s="1"/>
  <c r="H835" i="6" s="1"/>
  <c r="H836" i="6" s="1"/>
  <c r="H837" i="6" s="1"/>
  <c r="H838" i="6" s="1"/>
  <c r="H839" i="6" s="1"/>
  <c r="H840" i="6" s="1"/>
  <c r="H841" i="6" s="1"/>
  <c r="H842" i="6" s="1"/>
  <c r="H843" i="6" s="1"/>
  <c r="H844" i="6" s="1"/>
  <c r="H845" i="6" s="1"/>
  <c r="H846" i="6" s="1"/>
  <c r="H847" i="6" s="1"/>
  <c r="H848" i="6" s="1"/>
  <c r="H849" i="6" s="1"/>
  <c r="H850" i="6" s="1"/>
  <c r="H851" i="6" s="1"/>
  <c r="H852" i="6" s="1"/>
  <c r="H853" i="6" s="1"/>
  <c r="H854" i="6" s="1"/>
  <c r="H855" i="6" s="1"/>
  <c r="H856" i="6" s="1"/>
  <c r="H857" i="6" s="1"/>
  <c r="H858" i="6" s="1"/>
  <c r="H859" i="6" s="1"/>
  <c r="H860" i="6" s="1"/>
  <c r="H861" i="6" s="1"/>
  <c r="H862" i="6" s="1"/>
  <c r="H863" i="6" s="1"/>
  <c r="H864" i="6" s="1"/>
  <c r="H865" i="6" s="1"/>
  <c r="H866" i="6" s="1"/>
  <c r="H867" i="6" s="1"/>
  <c r="H868" i="6" s="1"/>
  <c r="H869" i="6" s="1"/>
  <c r="F870" i="6"/>
  <c r="E870" i="6"/>
  <c r="H756" i="6" l="1"/>
  <c r="H757" i="6" s="1"/>
  <c r="H758" i="6" s="1"/>
  <c r="H759" i="6" s="1"/>
  <c r="H760" i="6" s="1"/>
  <c r="H761" i="6" s="1"/>
  <c r="H762" i="6" s="1"/>
  <c r="H763" i="6" s="1"/>
  <c r="H764" i="6" s="1"/>
  <c r="H765" i="6" s="1"/>
  <c r="H766" i="6" s="1"/>
  <c r="H767" i="6" s="1"/>
  <c r="H768" i="6" s="1"/>
  <c r="H769" i="6" s="1"/>
  <c r="H770" i="6" s="1"/>
  <c r="H771" i="6" s="1"/>
  <c r="H772" i="6" s="1"/>
  <c r="H773" i="6" s="1"/>
  <c r="H774" i="6" s="1"/>
  <c r="H775" i="6" s="1"/>
  <c r="H776" i="6" s="1"/>
  <c r="H777" i="6" s="1"/>
  <c r="H778" i="6" s="1"/>
  <c r="H779" i="6" s="1"/>
  <c r="H780" i="6" s="1"/>
  <c r="H781" i="6" s="1"/>
  <c r="H782" i="6" s="1"/>
  <c r="H783" i="6" s="1"/>
  <c r="H784" i="6" s="1"/>
  <c r="H785" i="6" s="1"/>
  <c r="H786" i="6" s="1"/>
  <c r="H787" i="6" s="1"/>
  <c r="H788" i="6" s="1"/>
  <c r="H789" i="6" s="1"/>
  <c r="H790" i="6" s="1"/>
  <c r="H791" i="6" s="1"/>
  <c r="H792" i="6" s="1"/>
  <c r="H793" i="6" s="1"/>
  <c r="H794" i="6" s="1"/>
  <c r="H795" i="6" s="1"/>
  <c r="H796" i="6" s="1"/>
  <c r="H797" i="6" s="1"/>
  <c r="F798" i="6"/>
  <c r="E798" i="6"/>
  <c r="H749" i="6" l="1"/>
  <c r="H750" i="6" s="1"/>
  <c r="F751" i="6"/>
  <c r="E751" i="6"/>
  <c r="H740" i="6" l="1"/>
  <c r="H741" i="6" s="1"/>
  <c r="F742" i="6"/>
  <c r="E742" i="6"/>
  <c r="E735" i="6" l="1"/>
  <c r="F735" i="6"/>
  <c r="F729" i="6"/>
  <c r="E729" i="6"/>
  <c r="F574" i="6" l="1"/>
  <c r="E574" i="6"/>
  <c r="H289" i="6" l="1"/>
  <c r="H290" i="6" s="1"/>
  <c r="H291" i="6" s="1"/>
  <c r="H292" i="6" s="1"/>
  <c r="H293" i="6" s="1"/>
  <c r="H294" i="6" s="1"/>
  <c r="H295" i="6" s="1"/>
  <c r="H296" i="6" s="1"/>
  <c r="H297" i="6" s="1"/>
  <c r="H298" i="6" s="1"/>
  <c r="H299" i="6" s="1"/>
  <c r="H300" i="6" s="1"/>
  <c r="H301" i="6" s="1"/>
  <c r="H302" i="6" s="1"/>
  <c r="H303" i="6" s="1"/>
  <c r="H304" i="6" s="1"/>
  <c r="H305" i="6" s="1"/>
  <c r="H306" i="6" s="1"/>
  <c r="H307" i="6" s="1"/>
  <c r="H308" i="6" s="1"/>
  <c r="H309" i="6" s="1"/>
  <c r="H310" i="6" s="1"/>
  <c r="H311" i="6" s="1"/>
  <c r="H312" i="6" s="1"/>
  <c r="H313" i="6" s="1"/>
  <c r="H314" i="6" s="1"/>
  <c r="H315" i="6" s="1"/>
  <c r="H316" i="6" s="1"/>
  <c r="H317" i="6" s="1"/>
  <c r="H318" i="6" s="1"/>
  <c r="H319" i="6" s="1"/>
  <c r="H320" i="6" s="1"/>
  <c r="H321" i="6" s="1"/>
  <c r="H322" i="6" s="1"/>
  <c r="H323" i="6" s="1"/>
  <c r="H324" i="6" s="1"/>
  <c r="H325" i="6" s="1"/>
  <c r="H326" i="6" s="1"/>
  <c r="H327" i="6" s="1"/>
  <c r="H328" i="6" s="1"/>
  <c r="H329" i="6" s="1"/>
  <c r="H330" i="6" s="1"/>
  <c r="H331" i="6" s="1"/>
  <c r="H332" i="6" s="1"/>
  <c r="H333" i="6" s="1"/>
  <c r="H334" i="6" s="1"/>
  <c r="H335" i="6" s="1"/>
  <c r="H336" i="6" s="1"/>
  <c r="H337" i="6" s="1"/>
  <c r="H338" i="6" s="1"/>
  <c r="H339" i="6" s="1"/>
  <c r="H340" i="6" s="1"/>
  <c r="H341" i="6" s="1"/>
  <c r="H342" i="6" s="1"/>
  <c r="H343" i="6" s="1"/>
  <c r="H344" i="6" s="1"/>
  <c r="H345" i="6" s="1"/>
  <c r="H346" i="6" s="1"/>
  <c r="H347" i="6" s="1"/>
  <c r="H348" i="6" s="1"/>
  <c r="H349" i="6" s="1"/>
  <c r="H350" i="6" s="1"/>
  <c r="H351" i="6" s="1"/>
  <c r="H352" i="6" s="1"/>
  <c r="H353" i="6" s="1"/>
  <c r="H354" i="6" s="1"/>
  <c r="H355" i="6" s="1"/>
  <c r="H356" i="6" s="1"/>
  <c r="H357" i="6" s="1"/>
  <c r="H358" i="6" s="1"/>
  <c r="H359" i="6" s="1"/>
  <c r="H360" i="6" s="1"/>
  <c r="H361" i="6" s="1"/>
  <c r="H362" i="6" s="1"/>
  <c r="H363" i="6" s="1"/>
  <c r="H364" i="6" s="1"/>
  <c r="H365" i="6" s="1"/>
  <c r="H366" i="6" s="1"/>
  <c r="H367" i="6" s="1"/>
  <c r="H368" i="6" s="1"/>
  <c r="H369" i="6" s="1"/>
  <c r="H370" i="6" s="1"/>
  <c r="H371" i="6" s="1"/>
  <c r="H372" i="6" s="1"/>
  <c r="H373" i="6" s="1"/>
  <c r="H374" i="6" s="1"/>
  <c r="H375" i="6" s="1"/>
  <c r="H376" i="6" s="1"/>
  <c r="H377" i="6" s="1"/>
  <c r="H378" i="6" s="1"/>
  <c r="H379" i="6" s="1"/>
  <c r="H380" i="6" s="1"/>
  <c r="H381" i="6" s="1"/>
  <c r="H382" i="6" s="1"/>
  <c r="H383" i="6" s="1"/>
  <c r="H384" i="6" s="1"/>
  <c r="H385" i="6" s="1"/>
  <c r="H386" i="6" s="1"/>
  <c r="H387" i="6" s="1"/>
  <c r="H388" i="6" s="1"/>
  <c r="H389" i="6" s="1"/>
  <c r="H390" i="6" s="1"/>
  <c r="H391" i="6" s="1"/>
  <c r="H392" i="6" s="1"/>
  <c r="H393" i="6" s="1"/>
  <c r="H394" i="6" s="1"/>
  <c r="H395" i="6" s="1"/>
  <c r="H396" i="6" s="1"/>
  <c r="H397" i="6" s="1"/>
  <c r="H398" i="6" s="1"/>
  <c r="H399" i="6" s="1"/>
  <c r="H400" i="6" s="1"/>
  <c r="H401" i="6" s="1"/>
  <c r="H402" i="6" s="1"/>
  <c r="H403" i="6" s="1"/>
  <c r="H404" i="6" s="1"/>
  <c r="H405" i="6" s="1"/>
  <c r="H406" i="6" s="1"/>
  <c r="H407" i="6" s="1"/>
  <c r="H408" i="6" s="1"/>
  <c r="F409" i="6"/>
  <c r="E409" i="6"/>
  <c r="E283" i="6" l="1"/>
  <c r="F283" i="6"/>
  <c r="F144" i="6" l="1"/>
  <c r="E144" i="6"/>
  <c r="H110" i="6"/>
  <c r="H111" i="6" s="1"/>
  <c r="H112" i="6" s="1"/>
  <c r="H113" i="6" s="1"/>
  <c r="H114" i="6" s="1"/>
  <c r="H115" i="6" s="1"/>
  <c r="H116" i="6" s="1"/>
  <c r="H117" i="6" s="1"/>
  <c r="H118" i="6" s="1"/>
  <c r="H119" i="6" s="1"/>
  <c r="H120" i="6" s="1"/>
  <c r="H121" i="6" s="1"/>
  <c r="H122" i="6" s="1"/>
  <c r="H123" i="6" s="1"/>
  <c r="H124" i="6" s="1"/>
  <c r="H125" i="6" s="1"/>
  <c r="H126" i="6" s="1"/>
  <c r="H127" i="6" s="1"/>
  <c r="H128" i="6" s="1"/>
  <c r="H129" i="6" s="1"/>
  <c r="H130" i="6" s="1"/>
  <c r="H131" i="6" s="1"/>
  <c r="H132" i="6" s="1"/>
  <c r="H133" i="6" s="1"/>
  <c r="H134" i="6" s="1"/>
  <c r="H135" i="6" s="1"/>
  <c r="H136" i="6" s="1"/>
  <c r="H137" i="6" s="1"/>
  <c r="H138" i="6" s="1"/>
  <c r="H139" i="6" s="1"/>
  <c r="H140" i="6" s="1"/>
  <c r="H141" i="6" s="1"/>
  <c r="H142" i="6" s="1"/>
  <c r="H143" i="6" s="1"/>
  <c r="H5" i="6" l="1"/>
  <c r="H6" i="6" s="1"/>
  <c r="H7" i="6" s="1"/>
  <c r="H8" i="6" s="1"/>
  <c r="H9" i="6" s="1"/>
  <c r="H10" i="6" s="1"/>
  <c r="H11" i="6" s="1"/>
  <c r="H12" i="6" s="1"/>
  <c r="H13" i="6" s="1"/>
  <c r="H14" i="6" s="1"/>
  <c r="H15" i="6" s="1"/>
  <c r="H16" i="6" s="1"/>
  <c r="H17" i="6" s="1"/>
  <c r="H18" i="6" s="1"/>
  <c r="H19" i="6" s="1"/>
  <c r="H20" i="6" s="1"/>
  <c r="H21" i="6" s="1"/>
  <c r="H22" i="6" s="1"/>
  <c r="H23" i="6" s="1"/>
  <c r="H24" i="6" s="1"/>
  <c r="H25" i="6" s="1"/>
  <c r="H26" i="6" s="1"/>
  <c r="H27" i="6" s="1"/>
  <c r="H28" i="6" s="1"/>
  <c r="H29" i="6" s="1"/>
  <c r="H30" i="6" s="1"/>
  <c r="H31" i="6" s="1"/>
  <c r="H32" i="6" s="1"/>
  <c r="H33" i="6" s="1"/>
  <c r="H34" i="6" s="1"/>
  <c r="H35" i="6" s="1"/>
  <c r="H36" i="6" s="1"/>
  <c r="H37" i="6" s="1"/>
  <c r="H38" i="6" s="1"/>
  <c r="H39" i="6" s="1"/>
  <c r="H40" i="6" s="1"/>
  <c r="H41" i="6" s="1"/>
  <c r="H42" i="6" s="1"/>
  <c r="H43" i="6" s="1"/>
  <c r="H44" i="6" s="1"/>
  <c r="H45" i="6" s="1"/>
  <c r="H46" i="6" s="1"/>
  <c r="H47" i="6" s="1"/>
  <c r="H48" i="6" s="1"/>
  <c r="H49" i="6" s="1"/>
  <c r="H50" i="6" s="1"/>
  <c r="H51" i="6" s="1"/>
  <c r="H52" i="6" s="1"/>
  <c r="H53" i="6" s="1"/>
  <c r="H54" i="6" s="1"/>
  <c r="H55" i="6" s="1"/>
  <c r="H56" i="6" s="1"/>
  <c r="H57" i="6" s="1"/>
  <c r="H58" i="6" s="1"/>
  <c r="H59" i="6" s="1"/>
  <c r="H60" i="6" s="1"/>
  <c r="H61" i="6" s="1"/>
  <c r="H62" i="6" s="1"/>
  <c r="H63" i="6" s="1"/>
  <c r="H64" i="6" s="1"/>
  <c r="H65" i="6" s="1"/>
  <c r="H66" i="6" s="1"/>
  <c r="H67" i="6" s="1"/>
  <c r="H68" i="6" s="1"/>
  <c r="H69" i="6" s="1"/>
  <c r="H70" i="6" s="1"/>
  <c r="H71" i="6" s="1"/>
  <c r="H72" i="6" s="1"/>
  <c r="H73" i="6" s="1"/>
  <c r="H74" i="6" s="1"/>
  <c r="H75" i="6" s="1"/>
  <c r="H76" i="6" s="1"/>
  <c r="H77" i="6" s="1"/>
  <c r="H78" i="6" s="1"/>
  <c r="H79" i="6" s="1"/>
  <c r="H80" i="6" s="1"/>
  <c r="H81" i="6" s="1"/>
  <c r="H82" i="6" s="1"/>
  <c r="H83" i="6" s="1"/>
  <c r="H84" i="6" s="1"/>
  <c r="H85" i="6" s="1"/>
  <c r="H86" i="6" s="1"/>
  <c r="H87" i="6" s="1"/>
  <c r="H88" i="6" s="1"/>
  <c r="H89" i="6" s="1"/>
  <c r="H90" i="6" s="1"/>
  <c r="H91" i="6" s="1"/>
  <c r="H92" i="6" s="1"/>
  <c r="H93" i="6" s="1"/>
  <c r="H94" i="6" s="1"/>
  <c r="H95" i="6" s="1"/>
  <c r="H96" i="6" s="1"/>
  <c r="H97" i="6" s="1"/>
  <c r="H98" i="6" s="1"/>
  <c r="H99" i="6" s="1"/>
  <c r="H100" i="6" s="1"/>
  <c r="H101" i="6" s="1"/>
  <c r="H102" i="6" s="1"/>
  <c r="H103" i="6" s="1"/>
  <c r="H104" i="6" s="1"/>
  <c r="H68" i="28" l="1"/>
  <c r="J70" i="28"/>
  <c r="I55" i="28" l="1"/>
  <c r="I56" i="28" s="1"/>
  <c r="I57" i="28" s="1"/>
  <c r="I58" i="28" s="1"/>
  <c r="I59" i="28" s="1"/>
  <c r="I60" i="28" s="1"/>
  <c r="I61" i="28" s="1"/>
  <c r="I62" i="28" s="1"/>
  <c r="I63" i="28" s="1"/>
  <c r="I64" i="28" s="1"/>
  <c r="I65" i="28" s="1"/>
  <c r="I66" i="28" s="1"/>
  <c r="E54" i="28"/>
  <c r="F54" i="28"/>
  <c r="G54" i="28"/>
  <c r="D54" i="28"/>
  <c r="B54" i="28"/>
  <c r="H54" i="28" s="1"/>
  <c r="B41" i="28"/>
  <c r="H55" i="28" l="1"/>
  <c r="H56" i="28" s="1"/>
  <c r="H57" i="28" s="1"/>
  <c r="H58" i="28" s="1"/>
  <c r="H59" i="28" s="1"/>
  <c r="H60" i="28" s="1"/>
  <c r="H61" i="28" s="1"/>
  <c r="H62" i="28" s="1"/>
  <c r="H63" i="28" s="1"/>
  <c r="H64" i="28" s="1"/>
  <c r="H65" i="28" s="1"/>
  <c r="H66" i="28" s="1"/>
  <c r="I54" i="28"/>
  <c r="K30" i="4"/>
  <c r="L30" i="4" s="1"/>
  <c r="L28" i="4"/>
  <c r="L3" i="4"/>
  <c r="C80" i="28"/>
  <c r="H80" i="28"/>
  <c r="I69" i="28"/>
  <c r="I70" i="28" s="1"/>
  <c r="I71" i="28" s="1"/>
  <c r="I72" i="28" s="1"/>
  <c r="I73" i="28" s="1"/>
  <c r="I74" i="28" s="1"/>
  <c r="I75" i="28" s="1"/>
  <c r="I76" i="28" s="1"/>
  <c r="I77" i="28" s="1"/>
  <c r="I78" i="28" s="1"/>
  <c r="I79" i="28" s="1"/>
  <c r="F67" i="28"/>
  <c r="I68" i="28"/>
  <c r="E67" i="28"/>
  <c r="D67" i="28"/>
  <c r="I80" i="28" l="1"/>
  <c r="C81" i="28"/>
  <c r="J4" i="28"/>
  <c r="H67" i="28"/>
  <c r="G67" i="28"/>
  <c r="I67" i="28" s="1"/>
  <c r="J28" i="28"/>
  <c r="J15" i="28"/>
  <c r="H69" i="28" l="1"/>
  <c r="H70" i="28" s="1"/>
  <c r="H71" i="28" s="1"/>
  <c r="H72" i="28" s="1"/>
  <c r="H73" i="28" s="1"/>
  <c r="H74" i="28" s="1"/>
  <c r="H75" i="28" s="1"/>
  <c r="H76" i="28" s="1"/>
  <c r="H77" i="28" s="1"/>
  <c r="H78" i="28" s="1"/>
  <c r="H79" i="28" s="1"/>
  <c r="D11" i="2" l="1"/>
  <c r="F153" i="1"/>
  <c r="F229" i="1"/>
  <c r="F230" i="1"/>
  <c r="F251" i="1"/>
  <c r="F252" i="1"/>
  <c r="F253" i="1"/>
  <c r="F254" i="1"/>
  <c r="F287" i="1"/>
  <c r="F288" i="1"/>
  <c r="F289" i="1"/>
  <c r="F329" i="1"/>
  <c r="F330" i="1"/>
  <c r="F356" i="1"/>
  <c r="F357" i="1"/>
  <c r="F358" i="1"/>
  <c r="F359" i="1"/>
  <c r="F395" i="1"/>
  <c r="F396" i="1"/>
  <c r="F422" i="1"/>
  <c r="F423" i="1"/>
  <c r="F424" i="1"/>
  <c r="F726" i="1"/>
  <c r="F587" i="1"/>
  <c r="F459" i="1"/>
  <c r="F460" i="1"/>
  <c r="F461" i="1"/>
  <c r="F472" i="1"/>
  <c r="F473" i="1"/>
  <c r="F516" i="1"/>
  <c r="F517" i="1"/>
  <c r="F533" i="1"/>
  <c r="F562" i="1"/>
  <c r="F563" i="1"/>
  <c r="F617" i="1"/>
  <c r="F697" i="1"/>
  <c r="F698" i="1"/>
  <c r="F157" i="1"/>
  <c r="F189" i="1"/>
  <c r="F931" i="6"/>
  <c r="E931" i="6"/>
  <c r="D12" i="2"/>
  <c r="E12" i="2"/>
  <c r="E105" i="6" l="1"/>
  <c r="E150" i="6"/>
  <c r="F150" i="6"/>
  <c r="E61" i="5" l="1"/>
  <c r="I43" i="28" l="1"/>
  <c r="I44" i="28"/>
  <c r="I45" i="28"/>
  <c r="I46" i="28"/>
  <c r="I47" i="28"/>
  <c r="I48" i="28"/>
  <c r="I49" i="28"/>
  <c r="I50" i="28"/>
  <c r="I51" i="28"/>
  <c r="I52" i="28"/>
  <c r="I53" i="28"/>
  <c r="I42" i="28"/>
  <c r="D41" i="28" l="1"/>
  <c r="E41" i="28"/>
  <c r="F41" i="28"/>
  <c r="G41" i="28"/>
  <c r="B2" i="28"/>
  <c r="B81" i="28" s="1"/>
  <c r="B84" i="28" l="1"/>
  <c r="I41" i="28"/>
  <c r="H42" i="28"/>
  <c r="H43" i="28" s="1"/>
  <c r="H44" i="28" s="1"/>
  <c r="H45" i="28" s="1"/>
  <c r="H46" i="28" s="1"/>
  <c r="H47" i="28" s="1"/>
  <c r="H48" i="28" s="1"/>
  <c r="H49" i="28" s="1"/>
  <c r="H50" i="28" s="1"/>
  <c r="H51" i="28" s="1"/>
  <c r="H52" i="28" s="1"/>
  <c r="H53" i="28" s="1"/>
  <c r="G16" i="2" l="1"/>
  <c r="G15" i="2"/>
  <c r="G14" i="2"/>
  <c r="G9" i="2"/>
  <c r="G5" i="2"/>
  <c r="I29" i="28" l="1"/>
  <c r="I30" i="28" s="1"/>
  <c r="H29" i="28"/>
  <c r="H30" i="28" s="1"/>
  <c r="I16" i="28"/>
  <c r="I17" i="28" s="1"/>
  <c r="I18" i="28" s="1"/>
  <c r="H16" i="28" l="1"/>
  <c r="H17" i="28" s="1"/>
  <c r="H18" i="28" s="1"/>
  <c r="H19" i="28" s="1"/>
  <c r="H20" i="28" s="1"/>
  <c r="H21" i="28" s="1"/>
  <c r="H22" i="28" s="1"/>
  <c r="H23" i="28" s="1"/>
  <c r="H24" i="28" s="1"/>
  <c r="H25" i="28" s="1"/>
  <c r="H26" i="28" s="1"/>
  <c r="H27" i="28" s="1"/>
  <c r="E28" i="28"/>
  <c r="D15" i="28"/>
  <c r="D2" i="28"/>
  <c r="H3" i="28"/>
  <c r="H4" i="28" s="1"/>
  <c r="H5" i="28" s="1"/>
  <c r="H6" i="28" s="1"/>
  <c r="H7" i="28" s="1"/>
  <c r="H8" i="28" s="1"/>
  <c r="H9" i="28" s="1"/>
  <c r="H10" i="28" s="1"/>
  <c r="H11" i="28" s="1"/>
  <c r="H12" i="28" s="1"/>
  <c r="H13" i="28" s="1"/>
  <c r="H14" i="28" s="1"/>
  <c r="G15" i="28"/>
  <c r="F28" i="28"/>
  <c r="G28" i="28"/>
  <c r="E15" i="28"/>
  <c r="E2" i="28"/>
  <c r="E81" i="28" s="1"/>
  <c r="I3" i="28"/>
  <c r="I4" i="28" s="1"/>
  <c r="I5" i="28" s="1"/>
  <c r="I6" i="28" s="1"/>
  <c r="I7" i="28" s="1"/>
  <c r="I8" i="28" s="1"/>
  <c r="I9" i="28" s="1"/>
  <c r="I10" i="28" s="1"/>
  <c r="I11" i="28" s="1"/>
  <c r="I12" i="28" s="1"/>
  <c r="I13" i="28" s="1"/>
  <c r="I14" i="28" s="1"/>
  <c r="F2" i="28"/>
  <c r="G2" i="28"/>
  <c r="D28" i="28"/>
  <c r="F15" i="28"/>
  <c r="I31" i="28"/>
  <c r="I32" i="28" s="1"/>
  <c r="I33" i="28" s="1"/>
  <c r="I34" i="28" s="1"/>
  <c r="I35" i="28" s="1"/>
  <c r="I36" i="28" s="1"/>
  <c r="I37" i="28" s="1"/>
  <c r="I38" i="28" s="1"/>
  <c r="I39" i="28" s="1"/>
  <c r="I40" i="28" s="1"/>
  <c r="I19" i="28"/>
  <c r="I20" i="28" s="1"/>
  <c r="I21" i="28" s="1"/>
  <c r="I22" i="28" s="1"/>
  <c r="I23" i="28" s="1"/>
  <c r="I24" i="28" s="1"/>
  <c r="I25" i="28" s="1"/>
  <c r="I26" i="28" s="1"/>
  <c r="I27" i="28" s="1"/>
  <c r="H31" i="28"/>
  <c r="H32" i="28" s="1"/>
  <c r="H33" i="28" s="1"/>
  <c r="H34" i="28" s="1"/>
  <c r="H35" i="28" s="1"/>
  <c r="H36" i="28" s="1"/>
  <c r="H37" i="28" s="1"/>
  <c r="H38" i="28" s="1"/>
  <c r="H39" i="28" s="1"/>
  <c r="H40" i="28" s="1"/>
  <c r="F425" i="1"/>
  <c r="F588" i="1"/>
  <c r="F724" i="1"/>
  <c r="F725" i="1"/>
  <c r="F6" i="1"/>
  <c r="F393" i="1"/>
  <c r="F394" i="1"/>
  <c r="F103" i="1"/>
  <c r="F186" i="1"/>
  <c r="D81" i="28" l="1"/>
  <c r="F81" i="28"/>
  <c r="G81" i="28"/>
  <c r="H15" i="28"/>
  <c r="I15" i="28"/>
  <c r="H28" i="28"/>
  <c r="H2" i="28"/>
  <c r="I28" i="28"/>
  <c r="I2" i="28"/>
  <c r="H81" i="28" l="1"/>
  <c r="I81" i="28"/>
  <c r="H735" i="6"/>
  <c r="F458" i="1" l="1"/>
  <c r="E2" i="2"/>
  <c r="F565" i="1" l="1"/>
  <c r="E5" i="2"/>
  <c r="F46" i="1" l="1"/>
  <c r="F101" i="1"/>
  <c r="F535" i="1"/>
  <c r="F616" i="1"/>
  <c r="F33" i="1"/>
  <c r="F47" i="1"/>
  <c r="F45" i="1"/>
  <c r="F564" i="1"/>
  <c r="F154" i="1"/>
  <c r="G3" i="3"/>
  <c r="G4" i="3" s="1"/>
  <c r="G5" i="3" s="1"/>
  <c r="G6" i="3" s="1"/>
  <c r="G7" i="3" s="1"/>
  <c r="G8" i="3" s="1"/>
  <c r="G9" i="3" s="1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G35" i="3" s="1"/>
  <c r="G36" i="3" s="1"/>
  <c r="G37" i="3" s="1"/>
  <c r="G38" i="3" s="1"/>
  <c r="G39" i="3" s="1"/>
  <c r="G40" i="3" s="1"/>
  <c r="G41" i="3" s="1"/>
  <c r="G42" i="3" s="1"/>
  <c r="G43" i="3" s="1"/>
  <c r="G44" i="3" s="1"/>
  <c r="G45" i="3" s="1"/>
  <c r="G46" i="3" s="1"/>
  <c r="G47" i="3" s="1"/>
  <c r="G48" i="3" s="1"/>
  <c r="G49" i="3" s="1"/>
  <c r="G50" i="3" s="1"/>
  <c r="G51" i="3" s="1"/>
  <c r="G52" i="3" s="1"/>
  <c r="G53" i="3" s="1"/>
  <c r="G54" i="3" s="1"/>
  <c r="G55" i="3" s="1"/>
  <c r="G56" i="3" s="1"/>
  <c r="G57" i="3" s="1"/>
  <c r="G58" i="3" s="1"/>
  <c r="G59" i="3" s="1"/>
  <c r="G60" i="3" s="1"/>
  <c r="G61" i="3" s="1"/>
  <c r="G62" i="3" s="1"/>
  <c r="G63" i="3" s="1"/>
  <c r="G64" i="3" s="1"/>
  <c r="G65" i="3" s="1"/>
  <c r="G66" i="3" s="1"/>
  <c r="G67" i="3" s="1"/>
  <c r="G68" i="3" s="1"/>
  <c r="G69" i="3" s="1"/>
  <c r="G70" i="3" s="1"/>
  <c r="G71" i="3" s="1"/>
  <c r="G72" i="3" s="1"/>
  <c r="G73" i="3" s="1"/>
  <c r="G74" i="3" s="1"/>
  <c r="G75" i="3" s="1"/>
  <c r="G76" i="3" s="1"/>
  <c r="G77" i="3" s="1"/>
  <c r="G78" i="3" s="1"/>
  <c r="G79" i="3" s="1"/>
  <c r="G80" i="3" s="1"/>
  <c r="G81" i="3" s="1"/>
  <c r="G82" i="3" s="1"/>
  <c r="G83" i="3" s="1"/>
  <c r="G84" i="3" s="1"/>
  <c r="G85" i="3" s="1"/>
  <c r="G86" i="3" s="1"/>
  <c r="G87" i="3" s="1"/>
  <c r="G88" i="3" s="1"/>
  <c r="G89" i="3" s="1"/>
  <c r="G90" i="3" s="1"/>
  <c r="G91" i="3" s="1"/>
  <c r="G92" i="3" s="1"/>
  <c r="G93" i="3" s="1"/>
  <c r="G94" i="3" s="1"/>
  <c r="G95" i="3" s="1"/>
  <c r="G96" i="3" s="1"/>
  <c r="G97" i="3" s="1"/>
  <c r="G98" i="3" s="1"/>
  <c r="G99" i="3" s="1"/>
  <c r="G100" i="3" s="1"/>
  <c r="G101" i="3" s="1"/>
  <c r="G102" i="3" s="1"/>
  <c r="G103" i="3" s="1"/>
  <c r="G104" i="3" s="1"/>
  <c r="G105" i="3" s="1"/>
  <c r="G106" i="3" s="1"/>
  <c r="G107" i="3" s="1"/>
  <c r="G108" i="3" s="1"/>
  <c r="G109" i="3" s="1"/>
  <c r="G110" i="3" s="1"/>
  <c r="G111" i="3" s="1"/>
  <c r="G112" i="3" s="1"/>
  <c r="G113" i="3" s="1"/>
  <c r="G114" i="3" s="1"/>
  <c r="G115" i="3" s="1"/>
  <c r="G116" i="3" s="1"/>
  <c r="F23" i="7" s="1"/>
  <c r="F567" i="1" l="1"/>
  <c r="F585" i="1"/>
  <c r="F586" i="1"/>
  <c r="F34" i="1"/>
  <c r="F512" i="1"/>
  <c r="F35" i="1"/>
  <c r="H25" i="2"/>
  <c r="G19" i="2"/>
  <c r="E19" i="2"/>
  <c r="C25" i="2" l="1"/>
  <c r="E25" i="2"/>
  <c r="D25" i="2"/>
  <c r="F187" i="1" l="1"/>
  <c r="F76" i="1"/>
  <c r="F102" i="1"/>
  <c r="F727" i="1"/>
  <c r="F3" i="1"/>
  <c r="F4" i="1"/>
  <c r="F152" i="1"/>
  <c r="F514" i="1"/>
  <c r="F534" i="1"/>
  <c r="F156" i="1"/>
  <c r="F44" i="1"/>
  <c r="F566" i="1"/>
  <c r="F226" i="1"/>
  <c r="F227" i="1"/>
  <c r="F228" i="1"/>
  <c r="F32" i="1"/>
  <c r="F513" i="1"/>
  <c r="F74" i="1"/>
  <c r="F5" i="1"/>
  <c r="D10" i="5"/>
  <c r="D58" i="5" s="1"/>
  <c r="D72" i="5" s="1"/>
  <c r="D84" i="5" s="1"/>
  <c r="D87" i="5" l="1"/>
  <c r="H19" i="2"/>
  <c r="C12" i="2" l="1"/>
  <c r="G12" i="2"/>
  <c r="I12" i="2" l="1"/>
  <c r="C16" i="2"/>
  <c r="C15" i="2"/>
  <c r="C14" i="2"/>
  <c r="C13" i="2"/>
  <c r="C11" i="2"/>
  <c r="C10" i="2"/>
  <c r="C9" i="2"/>
  <c r="C8" i="2"/>
  <c r="C5" i="2"/>
  <c r="C3" i="2"/>
  <c r="C2" i="2"/>
  <c r="M2" i="2"/>
  <c r="C19" i="2" l="1"/>
  <c r="F2" i="1"/>
  <c r="F532" i="1"/>
  <c r="F188" i="1"/>
  <c r="F73" i="1"/>
  <c r="G3" i="4"/>
  <c r="G4" i="4" s="1"/>
  <c r="G5" i="4" s="1"/>
  <c r="G6" i="4" s="1"/>
  <c r="G7" i="4" s="1"/>
  <c r="G8" i="4" s="1"/>
  <c r="G9" i="4" s="1"/>
  <c r="G10" i="4" s="1"/>
  <c r="G11" i="4" s="1"/>
  <c r="G12" i="4" s="1"/>
  <c r="G13" i="4" s="1"/>
  <c r="G14" i="4" s="1"/>
  <c r="G15" i="4" s="1"/>
  <c r="G16" i="4" s="1"/>
  <c r="G17" i="4" s="1"/>
  <c r="G18" i="4" s="1"/>
  <c r="G19" i="4" s="1"/>
  <c r="G20" i="4" s="1"/>
  <c r="G21" i="4" s="1"/>
  <c r="G22" i="4" s="1"/>
  <c r="G23" i="4" s="1"/>
  <c r="G24" i="4" s="1"/>
  <c r="G25" i="4" s="1"/>
  <c r="G26" i="4" s="1"/>
  <c r="G27" i="4" s="1"/>
  <c r="G28" i="4" s="1"/>
  <c r="G29" i="4" s="1"/>
  <c r="G30" i="4" s="1"/>
  <c r="G31" i="4" s="1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D2" i="2"/>
  <c r="D5" i="2"/>
  <c r="I2" i="2" l="1"/>
  <c r="I19" i="2"/>
  <c r="F100" i="1" l="1"/>
  <c r="F155" i="1"/>
  <c r="F515" i="1"/>
  <c r="F75" i="1"/>
  <c r="F7" i="7"/>
  <c r="I25" i="2" l="1"/>
  <c r="H798" i="6" l="1"/>
  <c r="H751" i="6" l="1"/>
  <c r="H156" i="6" l="1"/>
  <c r="H157" i="6" s="1"/>
  <c r="H158" i="6" s="1"/>
  <c r="H159" i="6" s="1"/>
  <c r="H160" i="6" s="1"/>
  <c r="H161" i="6" s="1"/>
  <c r="H162" i="6" s="1"/>
  <c r="H163" i="6" s="1"/>
  <c r="H164" i="6" s="1"/>
  <c r="H165" i="6" s="1"/>
  <c r="H166" i="6" s="1"/>
  <c r="H167" i="6" s="1"/>
  <c r="H168" i="6" s="1"/>
  <c r="H169" i="6" s="1"/>
  <c r="H170" i="6" s="1"/>
  <c r="H171" i="6" s="1"/>
  <c r="H172" i="6" s="1"/>
  <c r="H173" i="6" s="1"/>
  <c r="H174" i="6" s="1"/>
  <c r="H175" i="6" s="1"/>
  <c r="H176" i="6" s="1"/>
  <c r="H177" i="6" s="1"/>
  <c r="H178" i="6" s="1"/>
  <c r="H179" i="6" s="1"/>
  <c r="H180" i="6" s="1"/>
  <c r="H181" i="6" s="1"/>
  <c r="H182" i="6" s="1"/>
  <c r="H183" i="6" s="1"/>
  <c r="H184" i="6" s="1"/>
  <c r="H185" i="6" s="1"/>
  <c r="H186" i="6" s="1"/>
  <c r="H187" i="6" s="1"/>
  <c r="H188" i="6" s="1"/>
  <c r="H189" i="6" s="1"/>
  <c r="H190" i="6" s="1"/>
  <c r="H191" i="6" s="1"/>
  <c r="H192" i="6" s="1"/>
  <c r="H193" i="6" s="1"/>
  <c r="H194" i="6" s="1"/>
  <c r="H195" i="6" s="1"/>
  <c r="H196" i="6" s="1"/>
  <c r="H197" i="6" s="1"/>
  <c r="H198" i="6" s="1"/>
  <c r="H199" i="6" s="1"/>
  <c r="H200" i="6" s="1"/>
  <c r="H201" i="6" s="1"/>
  <c r="H202" i="6" s="1"/>
  <c r="H203" i="6" s="1"/>
  <c r="H204" i="6" s="1"/>
  <c r="H205" i="6" s="1"/>
  <c r="H206" i="6" s="1"/>
  <c r="H207" i="6" s="1"/>
  <c r="H208" i="6" s="1"/>
  <c r="H209" i="6" s="1"/>
  <c r="H210" i="6" s="1"/>
  <c r="H211" i="6" s="1"/>
  <c r="H212" i="6" s="1"/>
  <c r="H213" i="6" s="1"/>
  <c r="H214" i="6" s="1"/>
  <c r="H215" i="6" s="1"/>
  <c r="H216" i="6" s="1"/>
  <c r="H217" i="6" s="1"/>
  <c r="H218" i="6" s="1"/>
  <c r="H219" i="6" s="1"/>
  <c r="H220" i="6" s="1"/>
  <c r="H221" i="6" s="1"/>
  <c r="H222" i="6" s="1"/>
  <c r="H223" i="6" s="1"/>
  <c r="H224" i="6" s="1"/>
  <c r="H225" i="6" s="1"/>
  <c r="H226" i="6" s="1"/>
  <c r="H227" i="6" s="1"/>
  <c r="H228" i="6" s="1"/>
  <c r="H229" i="6" s="1"/>
  <c r="H230" i="6" s="1"/>
  <c r="H231" i="6" s="1"/>
  <c r="H232" i="6" s="1"/>
  <c r="H233" i="6" s="1"/>
  <c r="H234" i="6" s="1"/>
  <c r="H235" i="6" s="1"/>
  <c r="H236" i="6" s="1"/>
  <c r="H237" i="6" s="1"/>
  <c r="H238" i="6" s="1"/>
  <c r="H239" i="6" s="1"/>
  <c r="H240" i="6" s="1"/>
  <c r="H241" i="6" s="1"/>
  <c r="H242" i="6" s="1"/>
  <c r="H243" i="6" s="1"/>
  <c r="H244" i="6" s="1"/>
  <c r="H245" i="6" s="1"/>
  <c r="H246" i="6" s="1"/>
  <c r="H247" i="6" s="1"/>
  <c r="H248" i="6" s="1"/>
  <c r="H249" i="6" s="1"/>
  <c r="H250" i="6" s="1"/>
  <c r="H251" i="6" s="1"/>
  <c r="H252" i="6" s="1"/>
  <c r="H253" i="6" s="1"/>
  <c r="H254" i="6" s="1"/>
  <c r="H255" i="6" s="1"/>
  <c r="H256" i="6" s="1"/>
  <c r="H257" i="6" s="1"/>
  <c r="H258" i="6" s="1"/>
  <c r="H259" i="6" s="1"/>
  <c r="H260" i="6" s="1"/>
  <c r="H261" i="6" s="1"/>
  <c r="H262" i="6" s="1"/>
  <c r="H263" i="6" s="1"/>
  <c r="H264" i="6" s="1"/>
  <c r="H265" i="6" s="1"/>
  <c r="H266" i="6" s="1"/>
  <c r="H267" i="6" s="1"/>
  <c r="H268" i="6" s="1"/>
  <c r="H269" i="6" s="1"/>
  <c r="H270" i="6" s="1"/>
  <c r="H271" i="6" s="1"/>
  <c r="H272" i="6" s="1"/>
  <c r="H273" i="6" s="1"/>
  <c r="H274" i="6" s="1"/>
  <c r="H275" i="6" s="1"/>
  <c r="H276" i="6" s="1"/>
  <c r="H277" i="6" s="1"/>
  <c r="H278" i="6" s="1"/>
  <c r="H279" i="6" s="1"/>
  <c r="H280" i="6" s="1"/>
  <c r="H281" i="6" s="1"/>
  <c r="H282" i="6" s="1"/>
  <c r="C4" i="2" l="1"/>
  <c r="H11" i="2" l="1"/>
  <c r="D4" i="2" l="1"/>
  <c r="M17" i="2"/>
  <c r="H931" i="6" l="1"/>
  <c r="H12" i="2" s="1"/>
  <c r="J12" i="2" s="1"/>
  <c r="H409" i="6" l="1"/>
  <c r="H870" i="6" l="1"/>
  <c r="H16" i="2" s="1"/>
  <c r="H9" i="2"/>
  <c r="H283" i="6" l="1"/>
  <c r="H5" i="2" s="1"/>
  <c r="H105" i="6" l="1"/>
  <c r="H2" i="2" s="1"/>
  <c r="J2" i="2" s="1"/>
  <c r="H15" i="2" l="1"/>
  <c r="H144" i="6" l="1"/>
  <c r="H3" i="2" s="1"/>
  <c r="H13" i="2" l="1"/>
  <c r="F19" i="7" l="1"/>
  <c r="F18" i="7"/>
  <c r="F17" i="7"/>
  <c r="F16" i="7"/>
  <c r="F15" i="7"/>
  <c r="F14" i="7"/>
  <c r="F11" i="7"/>
  <c r="F10" i="7"/>
  <c r="F9" i="7"/>
  <c r="F8" i="7"/>
  <c r="F20" i="2"/>
  <c r="D20" i="2"/>
  <c r="D29" i="2" s="1"/>
  <c r="F17" i="2"/>
  <c r="I13" i="2"/>
  <c r="I7" i="2"/>
  <c r="J7" i="2" s="1"/>
  <c r="I6" i="2"/>
  <c r="J6" i="2" s="1"/>
  <c r="H574" i="6" l="1"/>
  <c r="H10" i="2" s="1"/>
  <c r="F20" i="7"/>
  <c r="F22" i="7" s="1"/>
  <c r="G17" i="2"/>
  <c r="G20" i="2"/>
  <c r="D17" i="2"/>
  <c r="E20" i="2"/>
  <c r="E17" i="2"/>
  <c r="I9" i="2"/>
  <c r="I16" i="2"/>
  <c r="J16" i="2" s="1"/>
  <c r="I10" i="2"/>
  <c r="I14" i="2"/>
  <c r="I3" i="2"/>
  <c r="I8" i="2"/>
  <c r="I11" i="2"/>
  <c r="J11" i="2" s="1"/>
  <c r="I15" i="2"/>
  <c r="J15" i="2" s="1"/>
  <c r="I20" i="2"/>
  <c r="I4" i="2"/>
  <c r="I5" i="2"/>
  <c r="J5" i="2" s="1"/>
  <c r="C20" i="2"/>
  <c r="C29" i="2" s="1"/>
  <c r="H742" i="6"/>
  <c r="H14" i="2" s="1"/>
  <c r="H150" i="6"/>
  <c r="H4" i="2" s="1"/>
  <c r="J13" i="2"/>
  <c r="C17" i="2"/>
  <c r="J10" i="2" l="1"/>
  <c r="J3" i="2"/>
  <c r="J14" i="2"/>
  <c r="F24" i="7"/>
  <c r="J25" i="2"/>
  <c r="E23" i="2"/>
  <c r="E29" i="2" s="1"/>
  <c r="J4" i="2"/>
  <c r="I17" i="2"/>
  <c r="J9" i="2"/>
  <c r="I29" i="2" l="1"/>
  <c r="H83" i="28" l="1"/>
  <c r="H84" i="28" s="1"/>
  <c r="J19" i="2"/>
  <c r="H20" i="2"/>
  <c r="J20" i="2" l="1"/>
  <c r="H729" i="6"/>
  <c r="H8" i="2" s="1"/>
  <c r="J8" i="2" s="1"/>
  <c r="H17" i="2" l="1"/>
  <c r="J17" i="2" s="1"/>
  <c r="H29" i="2" l="1"/>
  <c r="J29" i="2" s="1"/>
</calcChain>
</file>

<file path=xl/comments1.xml><?xml version="1.0" encoding="utf-8"?>
<comments xmlns="http://schemas.openxmlformats.org/spreadsheetml/2006/main">
  <authors>
    <author>tc={A12D1BC1-2A0A-4E82-995E-AE42C351895A}</author>
    <author>tc={B9DA9024-4CA0-46CF-BCB7-17B9FFFC34E0}</author>
    <author>tc={62FAAB4B-6EAF-4972-9E02-C37D118F3FE1}</author>
    <author>tc={CD553CA5-AD13-43FC-A1F7-EF2DE5EF7A94}</author>
    <author>tc={5991BF77-FCF5-4586-9875-1F89E2825A51}</author>
    <author>tc={D10F2EAC-DC88-4867-AF3C-128AC3A279F6}</author>
    <author>tc={E4BF8878-824E-43F9-ABC1-A73CD708EDCD}</author>
    <author>tc={5E3CEF0F-AC62-41D5-A934-AC03EDB0B8D2}</author>
    <author>tc={A6199460-FC62-44E6-AB78-D712E7363C57}</author>
  </authors>
  <commentList>
    <comment ref="C2" authorId="0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D2" authorId="1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„Cash journal“</t>
        </r>
      </text>
    </comment>
    <comment ref="E2" authorId="2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„data“</t>
        </r>
      </text>
    </comment>
    <comment ref="H2" authorId="3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I2" authorId="4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formula</t>
        </r>
      </text>
    </comment>
    <comment ref="C19" authorId="5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I19" authorId="6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C25" authorId="7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  <comment ref="H25" authorId="8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comments2.xml><?xml version="1.0" encoding="utf-8"?>
<comments xmlns="http://schemas.openxmlformats.org/spreadsheetml/2006/main">
  <authors>
    <author>tc={C1DF0F66-A833-40DC-8B4A-5A54471ED649}</author>
    <author>tc={F88D673A-DD35-4DCB-976B-8A96F322437E}</author>
  </authors>
  <commentList>
    <comment ref="C6" authorId="0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Adjust that according to your country</t>
        </r>
      </text>
    </comment>
    <comment ref="F23" authorId="1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sharedStrings.xml><?xml version="1.0" encoding="utf-8"?>
<sst xmlns="http://schemas.openxmlformats.org/spreadsheetml/2006/main" count="19092" uniqueCount="1096">
  <si>
    <t>Date</t>
  </si>
  <si>
    <t>Details</t>
  </si>
  <si>
    <t>Type of expenses</t>
  </si>
  <si>
    <t xml:space="preserve">Department </t>
  </si>
  <si>
    <t>Spent in $</t>
  </si>
  <si>
    <t>Exchange Rate $</t>
  </si>
  <si>
    <t>Receipt</t>
  </si>
  <si>
    <t>Project</t>
  </si>
  <si>
    <t>Donor</t>
  </si>
  <si>
    <t>Country</t>
  </si>
  <si>
    <t>Name</t>
  </si>
  <si>
    <t>Department</t>
  </si>
  <si>
    <t>Received</t>
  </si>
  <si>
    <t>Spent</t>
  </si>
  <si>
    <t>Accounting Balance</t>
  </si>
  <si>
    <t>Cross-checking</t>
  </si>
  <si>
    <t>Transfer In</t>
  </si>
  <si>
    <t>Transfer  out</t>
  </si>
  <si>
    <t>TOTAL STAFF</t>
  </si>
  <si>
    <t>TOTAL Banks</t>
  </si>
  <si>
    <t>control of internal transfers</t>
  </si>
  <si>
    <t xml:space="preserve">Total expenses </t>
  </si>
  <si>
    <t>Cash Box</t>
  </si>
  <si>
    <t>MOVEMENTS</t>
  </si>
  <si>
    <t>EXPENSES</t>
  </si>
  <si>
    <t>ACCOUNTING BALANCE</t>
  </si>
  <si>
    <t>CROSS-CHECKING</t>
  </si>
  <si>
    <t>OVERALL BALANCE</t>
  </si>
  <si>
    <t>BANK 1</t>
  </si>
  <si>
    <t xml:space="preserve">Spent </t>
  </si>
  <si>
    <t>Balance</t>
  </si>
  <si>
    <t>GRANTS RECEIVED</t>
  </si>
  <si>
    <t>EAGLE NETWORK</t>
  </si>
  <si>
    <t xml:space="preserve">PROJECT: </t>
  </si>
  <si>
    <t>MONTH</t>
  </si>
  <si>
    <t xml:space="preserve">Bank reconciliation statments </t>
  </si>
  <si>
    <t>ACCOUNTING</t>
  </si>
  <si>
    <t xml:space="preserve">n° </t>
  </si>
  <si>
    <t>Description</t>
  </si>
  <si>
    <t>Débit</t>
  </si>
  <si>
    <t>Crédit</t>
  </si>
  <si>
    <t>Account Balance</t>
  </si>
  <si>
    <t>PROJECT COORDINATOR</t>
  </si>
  <si>
    <t>BANK</t>
  </si>
  <si>
    <t>No</t>
  </si>
  <si>
    <t>Amount</t>
  </si>
  <si>
    <t>Add:</t>
  </si>
  <si>
    <t>Unpresented cheques</t>
  </si>
  <si>
    <t>Balance as per the bank statement</t>
  </si>
  <si>
    <t>Difference</t>
  </si>
  <si>
    <t>Reason for the Difference.</t>
  </si>
  <si>
    <t>currency</t>
  </si>
  <si>
    <t>Balance as per the accounting</t>
  </si>
  <si>
    <t>Signature accountant</t>
  </si>
  <si>
    <t>signature coordinator</t>
  </si>
  <si>
    <t xml:space="preserve"> Reconciliation Statement </t>
  </si>
  <si>
    <t>Paper Notes</t>
  </si>
  <si>
    <t>x</t>
  </si>
  <si>
    <t>Coins</t>
  </si>
  <si>
    <t>cash balance</t>
  </si>
  <si>
    <t>account balance</t>
  </si>
  <si>
    <t>difference</t>
  </si>
  <si>
    <t>value</t>
  </si>
  <si>
    <t>number</t>
  </si>
  <si>
    <t>Accountant:</t>
  </si>
  <si>
    <t>Coordinator:</t>
  </si>
  <si>
    <t>Project:</t>
  </si>
  <si>
    <t>Month:</t>
  </si>
  <si>
    <t>Year:</t>
  </si>
  <si>
    <t>Comments</t>
  </si>
  <si>
    <t>comments</t>
  </si>
  <si>
    <t>Balance  in USD</t>
  </si>
  <si>
    <t>exchange rate</t>
  </si>
  <si>
    <t>Opening Balance local currency</t>
  </si>
  <si>
    <t>Opening Balance USD</t>
  </si>
  <si>
    <t>Donated local currency</t>
  </si>
  <si>
    <t>Donated USD</t>
  </si>
  <si>
    <t>Used in local currency</t>
  </si>
  <si>
    <t>Used in USD</t>
  </si>
  <si>
    <t>Balance in local currency</t>
  </si>
  <si>
    <t>January</t>
  </si>
  <si>
    <t>February</t>
  </si>
  <si>
    <t xml:space="preserve">March </t>
  </si>
  <si>
    <t>April</t>
  </si>
  <si>
    <t xml:space="preserve">May </t>
  </si>
  <si>
    <t>June</t>
  </si>
  <si>
    <t xml:space="preserve">July </t>
  </si>
  <si>
    <t xml:space="preserve">August </t>
  </si>
  <si>
    <t xml:space="preserve">September </t>
  </si>
  <si>
    <t xml:space="preserve">October </t>
  </si>
  <si>
    <t xml:space="preserve">November </t>
  </si>
  <si>
    <t xml:space="preserve">December </t>
  </si>
  <si>
    <t>Total</t>
  </si>
  <si>
    <t>Balance in financial report</t>
  </si>
  <si>
    <t>Bank name: BCI</t>
  </si>
  <si>
    <t>Account name:  01100-37107202652-34</t>
  </si>
  <si>
    <t>PALF</t>
  </si>
  <si>
    <t>Legal</t>
  </si>
  <si>
    <t>Office</t>
  </si>
  <si>
    <t>Management</t>
  </si>
  <si>
    <t>Media</t>
  </si>
  <si>
    <t>Type de depense</t>
  </si>
  <si>
    <t>Versement</t>
  </si>
  <si>
    <t>Rent &amp; Utilities</t>
  </si>
  <si>
    <t>Personnel</t>
  </si>
  <si>
    <t>BQ-J-R1</t>
  </si>
  <si>
    <t>BQ-J-R2</t>
  </si>
  <si>
    <t>BCI</t>
  </si>
  <si>
    <t>Receved in XAF</t>
  </si>
  <si>
    <t>Spent  in XAF</t>
  </si>
  <si>
    <t>Telephone</t>
  </si>
  <si>
    <t>DOVI</t>
  </si>
  <si>
    <t>DH-J-R1</t>
  </si>
  <si>
    <t>CONGO</t>
  </si>
  <si>
    <t>Merveille</t>
  </si>
  <si>
    <t>CA-J-R1</t>
  </si>
  <si>
    <t>CA-J-R2</t>
  </si>
  <si>
    <t>CA-J-R3</t>
  </si>
  <si>
    <t>CA-J-R4</t>
  </si>
  <si>
    <t>CA-J-R5</t>
  </si>
  <si>
    <t>Office Materiels</t>
  </si>
  <si>
    <t>Transport</t>
  </si>
  <si>
    <t>T73</t>
  </si>
  <si>
    <t>P29</t>
  </si>
  <si>
    <t>Romain</t>
  </si>
  <si>
    <t>Abraham</t>
  </si>
  <si>
    <t>Roderlin</t>
  </si>
  <si>
    <t>Donald-Roméo</t>
  </si>
  <si>
    <t>Crépin</t>
  </si>
  <si>
    <t>Evariste</t>
  </si>
  <si>
    <t>Services</t>
  </si>
  <si>
    <t>IT87</t>
  </si>
  <si>
    <t>G12</t>
  </si>
  <si>
    <t>DH-J-D1</t>
  </si>
  <si>
    <t>Donald-Romeo</t>
  </si>
  <si>
    <t>Donors 2025</t>
  </si>
  <si>
    <t>Dovi</t>
  </si>
  <si>
    <t>I55S</t>
  </si>
  <si>
    <t>Investigations</t>
  </si>
  <si>
    <t>I73X</t>
  </si>
  <si>
    <t>COMPTA DOVI - Coordinateur</t>
  </si>
  <si>
    <t>Détails dépenses</t>
  </si>
  <si>
    <t>Types dépenses (Personnel, Bonus/ Lawyer Bonus, Travel Expenses, Travel subsistence, Office Materials,Rent &amp; Utilities, Services,Telephone, Internet,Bonus,Trust building, Bank charges,Transfer fees, Jail Visits, Editing Costs,Equipment, Publications, Cour</t>
  </si>
  <si>
    <t>Département (Investigations, Legal, Operations, Media, Management, CCU, EAGLE Family, Policy &amp; External relations)</t>
  </si>
  <si>
    <t>Montant reçu</t>
  </si>
  <si>
    <t>Montant dépensé</t>
  </si>
  <si>
    <t>Nom</t>
  </si>
  <si>
    <t>Reçu</t>
  </si>
  <si>
    <t>COMPTA Crepin - Assistant à la Coordination</t>
  </si>
  <si>
    <t>COMPTA MERVEILLE-Comptable</t>
  </si>
  <si>
    <t xml:space="preserve">COMPTA IT87 (Daniel) - Consultant Enquêteur </t>
  </si>
  <si>
    <t xml:space="preserve">COMPTA P29 (Bourgeois) - Consultant Enquêteur </t>
  </si>
  <si>
    <t xml:space="preserve">COMPTA T73 (Trésor) - Consultant Enquêteur </t>
  </si>
  <si>
    <t>COMPTA G12(&gt;&gt;&gt;&gt;) - Consultante Enquêtrice</t>
  </si>
  <si>
    <t>COMPTA Abraham-Juriste</t>
  </si>
  <si>
    <t>Balalce</t>
  </si>
  <si>
    <t>COMPTA Evariste - Chargé Media</t>
  </si>
  <si>
    <t>Étiquettes de lignes</t>
  </si>
  <si>
    <t>Total général</t>
  </si>
  <si>
    <t>Somme de Spent  in XAF</t>
  </si>
  <si>
    <t xml:space="preserve">Somme de Spent </t>
  </si>
  <si>
    <t>Somme de Received</t>
  </si>
  <si>
    <t>returned to caisse</t>
  </si>
  <si>
    <t>Receved  $</t>
  </si>
  <si>
    <t>Somme de Spent in $</t>
  </si>
  <si>
    <t>Homéfa DOVI ZENNAWOE</t>
  </si>
  <si>
    <t>Received in XAF</t>
  </si>
  <si>
    <t>Received in $</t>
  </si>
  <si>
    <t>Parfaite</t>
  </si>
  <si>
    <t>COMPTA PARFAITE-Comptable</t>
  </si>
  <si>
    <t>Departement</t>
  </si>
  <si>
    <t>Reason for Difference: Transfert charden farell</t>
  </si>
  <si>
    <t>phone credit received</t>
  </si>
  <si>
    <t>phone credit bought</t>
  </si>
  <si>
    <t>distributed</t>
  </si>
  <si>
    <t>name</t>
  </si>
  <si>
    <t>balance</t>
  </si>
  <si>
    <t>Date+A1:E38</t>
  </si>
  <si>
    <t>COMPTA Romain-Juriste</t>
  </si>
  <si>
    <t>COMPTA Donald-Roméo - Juriste</t>
  </si>
  <si>
    <t>(vide)</t>
  </si>
  <si>
    <t>Parfaire BAVOUMINA</t>
  </si>
  <si>
    <t>Étiquettes de colonnes</t>
  </si>
  <si>
    <t>Somme de distributed</t>
  </si>
  <si>
    <t>P-J-D1</t>
  </si>
  <si>
    <t>Dahan</t>
  </si>
  <si>
    <t>Maison-Bureau</t>
  </si>
  <si>
    <t>Bureau-Maison</t>
  </si>
  <si>
    <t>Maison- Bureau</t>
  </si>
  <si>
    <t>Bureau - Maison</t>
  </si>
  <si>
    <t>COMPTA Roderlin-Juriste</t>
  </si>
  <si>
    <t>Bureau -Maison</t>
  </si>
  <si>
    <t>Bureau- Maison</t>
  </si>
  <si>
    <t>Bureau- Aspinall</t>
  </si>
  <si>
    <t>Direct Debits (Bank Charges)</t>
  </si>
  <si>
    <t>Marchig Trust</t>
  </si>
  <si>
    <t xml:space="preserve">Taxi: Bureau -Banque BCI/ Retrait espece </t>
  </si>
  <si>
    <t>Taxi: Banque BCI-Bureau</t>
  </si>
  <si>
    <t>Phone Credit</t>
  </si>
  <si>
    <r>
      <t>Balance as per the</t>
    </r>
    <r>
      <rPr>
        <b/>
        <sz val="12"/>
        <color rgb="FFFF0000"/>
        <rFont val="Aptos Narrow"/>
        <family val="2"/>
        <scheme val="minor"/>
      </rPr>
      <t xml:space="preserve"> accounting</t>
    </r>
  </si>
  <si>
    <t>CR-D-R1</t>
  </si>
  <si>
    <t>Taxi:   Direction MB2 Services- Bureau</t>
  </si>
  <si>
    <t>Aspinall - Maison</t>
  </si>
  <si>
    <t>Bureau- DUE</t>
  </si>
  <si>
    <t>DUE - Bureau</t>
  </si>
  <si>
    <t>Bureau-Aspinall</t>
  </si>
  <si>
    <t>Aspinall-Maison</t>
  </si>
  <si>
    <t>Maison- Chez Paul (rendez -vous douane)</t>
  </si>
  <si>
    <t>Chez Paul - Maison</t>
  </si>
  <si>
    <t>Maison-Bureau (Rendez vous avec DGACFAP)</t>
  </si>
  <si>
    <t>Maison- Chez Paul (rendez -vous)</t>
  </si>
  <si>
    <t>Bureau - Ambassade de France</t>
  </si>
  <si>
    <t>Maison-Bureau cheffe douane Aéroport</t>
  </si>
  <si>
    <t>Aéroport - Bureau</t>
  </si>
  <si>
    <t>Bureau- DGEF</t>
  </si>
  <si>
    <t>Credit telephonique MTN/PALF/ du 09 Janvier 2026/ DOVI</t>
  </si>
  <si>
    <t>Credit telephonique MTN PALF/du 22 Janvier 2026/Legal/ crepin</t>
  </si>
  <si>
    <t xml:space="preserve">Taxi: Bureau -Banque BCI/ Demande d'information sur les fonds reçu </t>
  </si>
  <si>
    <t>Taxi: Bureau -Banque BCI/ Retrait Réleve du mois de Décembre 2025</t>
  </si>
  <si>
    <t xml:space="preserve"> Frais de prestation de nettoyage jardin PALF décembre 2025</t>
  </si>
  <si>
    <t>Reglement prestation de nettoyage  PALF du mois de décembre 2025</t>
  </si>
  <si>
    <t>Taxi: Bureau -TGI Brazzaviille/ Faire signer les documents à maître Hélène</t>
  </si>
  <si>
    <t>Taxi:TGI Brazzaviille- Bureau</t>
  </si>
  <si>
    <t>Taxi: Bureau- Mairi de moungalie/ Faire signer les pièces comptables à P29</t>
  </si>
  <si>
    <t>Taxi: Mairie Moungalie- Marché Total/ Faire signer les pièces comptables à G12</t>
  </si>
  <si>
    <t>Taxi: Mairie  Marché Total- Domicile</t>
  </si>
  <si>
    <t>Taxi:Bureau-Direction MB2 Services/Achat crédit Coordinateur PALF</t>
  </si>
  <si>
    <t>Réglement facture électricité periode Novembre et Décembre  2025/bureau PALF</t>
  </si>
  <si>
    <t>Règlement facture d'eau du mois de Novembre et Décembre  2025 bureau PALF</t>
  </si>
  <si>
    <t>Taxi: Banque BCI-Direction Energie electrique du congo/ Reglement facture d'electricité</t>
  </si>
  <si>
    <t>Taxi: Direction Energie electrique du congo- Direction LCDE/ Reglement facture d'eau</t>
  </si>
  <si>
    <t>Taxi: Direction LCDE- Bureau/ Reglement facture d'eau</t>
  </si>
  <si>
    <t>Taxi: Bureau -CNSS/ Depot du corrier à la cnss</t>
  </si>
  <si>
    <t>Taxi: CNSS -Direction Energie Electrique du Congo/Retrait du reçu de paiement du mois de nov dec 2025</t>
  </si>
  <si>
    <t>Taxi: Direction Energie Electrique du Congo-Domicile</t>
  </si>
  <si>
    <t>Achat de 04 ampoule à crochet bureau PALF</t>
  </si>
  <si>
    <t>Taxi:Bureau-Direction MB2 Services/Achat crédit Crepin</t>
  </si>
  <si>
    <t>Paiement salaire du mois de Novembre 2025/Homéfa DOVI/3655371</t>
  </si>
  <si>
    <t>Paiement salaire du mois de Novembre 2025/BAVOUMINA NZOUSSI Dina Parfaite/3655372</t>
  </si>
  <si>
    <t>Oui</t>
  </si>
  <si>
    <t>Retrait espèces/36553384</t>
  </si>
  <si>
    <t>Reglement facture internet periode du 16/02 au 16/03/2026 bureau PALF</t>
  </si>
  <si>
    <t>Internet</t>
  </si>
  <si>
    <t>Achat carburant groupe electrogène Bureau ( 100 litres)</t>
  </si>
  <si>
    <t>Achat encre HP Laser  02 noir et  03 couleur 216A</t>
  </si>
  <si>
    <t>Achat de 04 bonbonne d'eau mineral 10 LITRES/Bureau</t>
  </si>
  <si>
    <t xml:space="preserve"> Frais de prestation de nettoyage jardin PALF Janvier 2026</t>
  </si>
  <si>
    <t>Frais de ramassage Ordure Février 2026</t>
  </si>
  <si>
    <t>CA-F-R1</t>
  </si>
  <si>
    <t>CA-F-R2</t>
  </si>
  <si>
    <t>CA-F-R3</t>
  </si>
  <si>
    <t>CA-F-R4</t>
  </si>
  <si>
    <t>CA-F-R5</t>
  </si>
  <si>
    <t>CA-F-R6</t>
  </si>
  <si>
    <t>Grant</t>
  </si>
  <si>
    <t>Paiement salaire du mois de décembre 2025/LOUNDOU Jean Romain/3655376</t>
  </si>
  <si>
    <t>Paiement salaire du mois de décembre et congé 2025/FOUMBA Roderlin/3655375</t>
  </si>
  <si>
    <t>Paiement salaire du mois de Décembre et congés  2025/BOUNGOU MAKOSSO Abraham/3655374</t>
  </si>
  <si>
    <t>Reglement honoraire du mois de décembre 2025/T73/3655379</t>
  </si>
  <si>
    <t>Investigation</t>
  </si>
  <si>
    <t>Reglement honoraire du mois de décembre 2025/IT87/3655381</t>
  </si>
  <si>
    <t>Reglement honoraire du mois de décembre  2025/G12/3655378</t>
  </si>
  <si>
    <t>Reglement honoraire du mois de decembre 2025/P29/3655377</t>
  </si>
  <si>
    <t>Paiement salaire du mois de décembre 2025/Crepin IBOUILI-IBOUILI</t>
  </si>
  <si>
    <t>Paiement salaire du mois de décembre 2025/PINDI BINGA Donald- Roméo</t>
  </si>
  <si>
    <t>Paiement salaire du mois de décembre 2025/Evariste LELOUSSI</t>
  </si>
  <si>
    <t>Avance sur  salaire du mois de décembre 2025/Homéfa DOVI/3655237</t>
  </si>
  <si>
    <t>Paiement salaire du mois de décembre 2025/BAVOUMINA NZOUSSI Dina Parfaite/3655382</t>
  </si>
  <si>
    <t>Paiement CNSS quatrième trimestre/Octobre, Novembre et Décembre 2025/Crepin /3655380</t>
  </si>
  <si>
    <t>Paiement CNSS quatrième trimestre/Octobre, Novembre et Décembre 2025/Donald-Roméo/3655380</t>
  </si>
  <si>
    <t>Paiement CNSS quatrième trimestre/Octobre, Novembre et Décembre 2025/Romain/3655380</t>
  </si>
  <si>
    <t>Paiement CNSS quatrième trimestre/Octobre, Novembre et Décembre 2025/Roderlin/3655380</t>
  </si>
  <si>
    <t>Paiement CNSS quatrième trimestre/Octobre, Novembre et Décembre 2025/Abraham/3655380</t>
  </si>
  <si>
    <t>Paiement CNSS quatrième trimestre/Octobre, Novembre et Décembre 2025/Parfaite/3655380</t>
  </si>
  <si>
    <t>Paiement CNSS quatrième trimestre/Octobre, Novembre et Décembre 2025/Evariste/3655380</t>
  </si>
  <si>
    <t>Reglement Facture Gardiennage Mois de décembre 2025/3655236</t>
  </si>
  <si>
    <t>Reglement loyer du mois de décembre 2025/3655383</t>
  </si>
  <si>
    <t>Frais de virement salaire du mois de decembre 2025</t>
  </si>
  <si>
    <t>Bank fees</t>
  </si>
  <si>
    <t>Paiement Honoraire Me LOCKO/Mois de novembre  2025/3655238</t>
  </si>
  <si>
    <t>Lawyer Fees</t>
  </si>
  <si>
    <t>BQ-F-G1</t>
  </si>
  <si>
    <t>BQ-F-R1</t>
  </si>
  <si>
    <t>BQ-F-R2</t>
  </si>
  <si>
    <t>BQ-F-R3</t>
  </si>
  <si>
    <t>BQ-F-R4</t>
  </si>
  <si>
    <t>BQ-F-R5</t>
  </si>
  <si>
    <t>BQ-F-R6</t>
  </si>
  <si>
    <t>BQ-F-R7</t>
  </si>
  <si>
    <t>BQ-F-R8</t>
  </si>
  <si>
    <t>BQ-F-R9</t>
  </si>
  <si>
    <t>BQ-F-R10</t>
  </si>
  <si>
    <t>BQ-F-R11</t>
  </si>
  <si>
    <t>BQ-F-R12</t>
  </si>
  <si>
    <t>BQ-F-R13</t>
  </si>
  <si>
    <t>BQ-F-R14</t>
  </si>
  <si>
    <t>BQ-F-R15</t>
  </si>
  <si>
    <t>BQ-F-R16</t>
  </si>
  <si>
    <t>BQ-F-R17</t>
  </si>
  <si>
    <t>BQ-F-R18</t>
  </si>
  <si>
    <t>BQ-F-R19</t>
  </si>
  <si>
    <t>BQ-F-R20</t>
  </si>
  <si>
    <t>BQ-F-R21</t>
  </si>
  <si>
    <t>BQ-F-R22</t>
  </si>
  <si>
    <t>BQ-F-G2</t>
  </si>
  <si>
    <t>Réleve</t>
  </si>
  <si>
    <t>Maison - Bureau</t>
  </si>
  <si>
    <t>Bureau - Aspinall</t>
  </si>
  <si>
    <t>Aspinall-Bureau</t>
  </si>
  <si>
    <t>Bureau- Interpol</t>
  </si>
  <si>
    <t>Interpol-Bureau</t>
  </si>
  <si>
    <t>Credit telephonique MTN/PALF/ du 09 Février 2026/ DOVI</t>
  </si>
  <si>
    <t>Aspinall - Bureau</t>
  </si>
  <si>
    <t>Règlement loyer Janvier 2026/ Coordinateur</t>
  </si>
  <si>
    <t>personnel</t>
  </si>
  <si>
    <t>Aspinall- Bureau</t>
  </si>
  <si>
    <t>Maison- Aéroport(commissariat spécial)</t>
  </si>
  <si>
    <t>Aéroport -Bureau</t>
  </si>
  <si>
    <t>DH-F-D1</t>
  </si>
  <si>
    <t>DH-F-R1</t>
  </si>
  <si>
    <t>DH-F-R2</t>
  </si>
  <si>
    <t>Taxi: Bureau -Banque BCI/ Retrait Réleve du mois de Janvier 2026</t>
  </si>
  <si>
    <t>Taxi: Bureau -Banque BCI/ Retrait cheque pour le paiement de la cnss</t>
  </si>
  <si>
    <t>Taxi:  Bureau - CNSS/Paiement CNSS quatrième  trimestre de l'année 2025</t>
  </si>
  <si>
    <t>Taxi: CNSS-BCI /depot de l'ordre de virement salaire du mois de decembre 2025</t>
  </si>
  <si>
    <t>Taxi: BCI- Bureau</t>
  </si>
  <si>
    <t>Taxi:  Bureau- Société de gardiennage (PGS) /remis de chèque du mois de Décembre 2025</t>
  </si>
  <si>
    <t>Taxi:  Societé de gardiennage  - Bureau</t>
  </si>
  <si>
    <t>Taxi:Bureau-Station Energie total/ Achat carburant groupe electrogène bureau</t>
  </si>
  <si>
    <t>Taxi:   Station Energie total- Bureau</t>
  </si>
  <si>
    <t>Taxi: Bureau -Societé SDF/ Achat encre de l'imprimante HP jet laser</t>
  </si>
  <si>
    <t>Taxi: Societé SDF-Bureau</t>
  </si>
  <si>
    <t>Taxi:  Bureau - CNSS/Depot de la DAS (Declaration annuel des salaires) de l'année 2025</t>
  </si>
  <si>
    <t>Taxi: CNSS-Bureau</t>
  </si>
  <si>
    <t>Taxi:  Bureau- Cabinet d'avocat/remis  du chèque du mois de novembre 2025 Me LOCKO</t>
  </si>
  <si>
    <t>Taxi:  Cabinet d'Avocat - Domicile</t>
  </si>
  <si>
    <t>P-F-D1</t>
  </si>
  <si>
    <t>Transport local</t>
  </si>
  <si>
    <t>Somme de Receved  $</t>
  </si>
  <si>
    <t>Somme de Receved in XAF</t>
  </si>
  <si>
    <t>Amis</t>
  </si>
  <si>
    <t>RAPATRIEME01100 RAO00011023/30 Millions d'Amis</t>
  </si>
  <si>
    <t>RAPATRIEME01100 RAO00011034/30 Millions d'Amis</t>
  </si>
  <si>
    <t>30 Amis</t>
  </si>
  <si>
    <t>AWI 2025</t>
  </si>
  <si>
    <t>Aspinall</t>
  </si>
  <si>
    <t>old grants correction</t>
  </si>
  <si>
    <t>OAT</t>
  </si>
  <si>
    <t>Reçu caisse/ DOVI</t>
  </si>
  <si>
    <t>Credit telephonique MTN/PALF/ du 02 au 07 Mars  2026/ DOVI</t>
  </si>
  <si>
    <t>Règlement loyer Février/Coordinateur</t>
  </si>
  <si>
    <t>Bureau - Bureau Lussaka</t>
  </si>
  <si>
    <t>Bureau lussaka -Bureau</t>
  </si>
  <si>
    <t>Paiement assurance individuel accident corporel/DOVI</t>
  </si>
  <si>
    <t>Paiement assurance Assistance Evacuation/DOVI</t>
  </si>
  <si>
    <t>Reglement assurance retraite Coordinateur periode Novembre, Décembre 2025 et Janvier 2026</t>
  </si>
  <si>
    <t>Aspinall -Bureau</t>
  </si>
  <si>
    <t>Bureau - Tour Nabemba (MEF)</t>
  </si>
  <si>
    <t>Tour Nabemba - Bureau</t>
  </si>
  <si>
    <t>Bureau - Ministere de la justice</t>
  </si>
  <si>
    <t>Ministere de la Justice - Bureau</t>
  </si>
  <si>
    <t>Credit telephonique MTN/PALF/ du 10 au 17 Mars 2026/ DOVI</t>
  </si>
  <si>
    <t>Maison-DGEF</t>
  </si>
  <si>
    <t>Bureau-Ministere de la Justice</t>
  </si>
  <si>
    <t>Bureau - Parc Zoologique</t>
  </si>
  <si>
    <t>Parc Zoologique - Maison</t>
  </si>
  <si>
    <t>Bureau-Parc Zoologique</t>
  </si>
  <si>
    <t>Parc Zoologique-Bureau</t>
  </si>
  <si>
    <t>DGEF-Bureau</t>
  </si>
  <si>
    <t>Parc Zoologique - Bureau</t>
  </si>
  <si>
    <t>Credit telephonique MTN/PALF/ du 19 au 24 Mars 2026/ DOVI</t>
  </si>
  <si>
    <t>Maison -Bureau</t>
  </si>
  <si>
    <t>Bureau-WWF</t>
  </si>
  <si>
    <t>WWF-Bureau</t>
  </si>
  <si>
    <t>Credit telephonique MTN/PALF/ du 25 au 31 Mars 2026/ DOVI</t>
  </si>
  <si>
    <t>Bureau-Region de gendarmerie de Brazzaville</t>
  </si>
  <si>
    <t>Région de gendarmerie-Bureau</t>
  </si>
  <si>
    <t>Bureau-AOGC (Formation DUE)</t>
  </si>
  <si>
    <t>AOGC -Bureau</t>
  </si>
  <si>
    <t>management</t>
  </si>
  <si>
    <t>DH-M-D1</t>
  </si>
  <si>
    <t>DH-M-V1</t>
  </si>
  <si>
    <t>DH-M-R1</t>
  </si>
  <si>
    <t>DH-M-R2</t>
  </si>
  <si>
    <t>CA-M-R9</t>
  </si>
  <si>
    <t>CA-M-R10</t>
  </si>
  <si>
    <t>CA-M-R17</t>
  </si>
  <si>
    <t>DH-M-V2</t>
  </si>
  <si>
    <t>DH-M-R3</t>
  </si>
  <si>
    <t>DH-M-V3</t>
  </si>
  <si>
    <t>DH-M-R4</t>
  </si>
  <si>
    <t>DH-M-V4</t>
  </si>
  <si>
    <t>DH-M-R5</t>
  </si>
  <si>
    <t>DH-M-V5</t>
  </si>
  <si>
    <t>Credit telephonique MTN PALF/du 02   au 09 Mars 2026/Legal/ crepin</t>
  </si>
  <si>
    <t>Paiement prime de fin d'année 2025/ Crépin</t>
  </si>
  <si>
    <t>Credit telephonique MTN PALF/du 10   au 17 Mars 2026/Legal/ crepin</t>
  </si>
  <si>
    <t>Credit telephonique MTN PALF/du 18   au 24 Mars 2026/Legal/ crepin</t>
  </si>
  <si>
    <t>Credit telephonique MTN PALF/du 25   au 31 Mars 2026/Legal/ crepin</t>
  </si>
  <si>
    <t>Reçu de caisse/ Crepin</t>
  </si>
  <si>
    <t>Taxi: Domicile-Agence trans bony</t>
  </si>
  <si>
    <t>Achat Billet Brazzaville-Owando/Crépin</t>
  </si>
  <si>
    <t>Transport Interurbain</t>
  </si>
  <si>
    <t>Taxi: Agence trans bony-Domicile</t>
  </si>
  <si>
    <t>Taxi moto: Agence trans bony-Hôtel Case Mbali</t>
  </si>
  <si>
    <t>Crépin- CONGO Ration du 29 au 31/03/2026 à Owando</t>
  </si>
  <si>
    <t>Travel subsistence</t>
  </si>
  <si>
    <t>Taxi moto: Hôtel-DDEF</t>
  </si>
  <si>
    <t>Taxi moto: DDEF-Trans bony pour réservation de Ouesso</t>
  </si>
  <si>
    <t>Achat Billet Owando-Ouesso/ Crépin</t>
  </si>
  <si>
    <t>Taxi moto: Trans bony-Genadrmerie</t>
  </si>
  <si>
    <t>Taxi moto: Gendarmerie-TGI</t>
  </si>
  <si>
    <t>Taxi moto: TGI-Hôtel</t>
  </si>
  <si>
    <t>Ration de ELOMBO Levy et NGASSAKI Davy à la maison d'arrêt  d'Owando/ Soir</t>
  </si>
  <si>
    <t>Jail visit</t>
  </si>
  <si>
    <t>Taxi moto: Petit marché-Maison d'arrêt</t>
  </si>
  <si>
    <t>Taxi moto: Maison d'arrêt-Hôtel</t>
  </si>
  <si>
    <t>Reçu de caisse/Crepin</t>
  </si>
  <si>
    <t>Ration de ELOMBO Levy et NGASSAKI Davy à la maison d'arrêt  d'Owando/matin</t>
  </si>
  <si>
    <t>Taxi moto: Boutique-Maison d'arrêt</t>
  </si>
  <si>
    <t>Taxi moto: Maison d'arrêt-Gendarmerie</t>
  </si>
  <si>
    <t>Taxi moto: Gendarmerie-Hôtel</t>
  </si>
  <si>
    <t>Crépin-CONGO Frais d'hotel du   29 au 31/03/2026 à Owando ( 02 Nuitéés)</t>
  </si>
  <si>
    <t>Taxi moto: Hôtel-Agence Trans Bony à destination de Ouesso</t>
  </si>
  <si>
    <t>Taxi: Agence Trans bony Ouesso-Hôtel Royal</t>
  </si>
  <si>
    <t>CR-M-R1</t>
  </si>
  <si>
    <t>CA-M-D3</t>
  </si>
  <si>
    <t>CR-M-R2</t>
  </si>
  <si>
    <t>CR-M-R3</t>
  </si>
  <si>
    <t>CR-M-R4</t>
  </si>
  <si>
    <t>CR-M-V1</t>
  </si>
  <si>
    <t>CR-M-D1</t>
  </si>
  <si>
    <t>CR-M-R5</t>
  </si>
  <si>
    <t>CR-M-D2</t>
  </si>
  <si>
    <t>CR-M-R6</t>
  </si>
  <si>
    <t>CR-M-D3</t>
  </si>
  <si>
    <t>CR-M-V2</t>
  </si>
  <si>
    <t>CR-M-R7</t>
  </si>
  <si>
    <t>Taxi: Banque BCI-Direction MTN Congo/Achat Crédit</t>
  </si>
  <si>
    <t>Taxi:   Direction MTN Congo- Bureau</t>
  </si>
  <si>
    <t>Credit teléphonique MTN PALF/ du 02 au 09 Mars 2026/Management/ Parfaite</t>
  </si>
  <si>
    <t>Taxi:  Domicile- Société de gardiennage (PGS) /remise de chèque du mois de Janvier 2026</t>
  </si>
  <si>
    <t>Reçu Caisse/ Parfaite</t>
  </si>
  <si>
    <t>Règlement facture d'eau du mois de Janvier et Février 2026 bureau PALF</t>
  </si>
  <si>
    <t>Taxi: Bureau- Direction LCDE/ Reglement facture d'eau du mois de Janvier Février 2026</t>
  </si>
  <si>
    <t>Taxi: Direction LCDE- Direction MTN / Achat crédit télephonique equipe PALF</t>
  </si>
  <si>
    <t>Taxi: Direction MTN - Domicile</t>
  </si>
  <si>
    <t>Taxi: Bureau - Domicile/ travaille sur les dépenses du mois de dec 2025 janv et fév 2026 heure 18h20</t>
  </si>
  <si>
    <t>Paiement prime de fin d'année 2025/ Pafaite</t>
  </si>
  <si>
    <t>Taxi:  Bureau-Banque BCI/Appro caisse et deport ordre de virement du mois de janvier et février 2026</t>
  </si>
  <si>
    <t>Taxi:  Banque BCI - Direction MTN/ Achat credit telephonique deuxième partie du mois de Mai 2025</t>
  </si>
  <si>
    <t>Taxi: Direction MTN- Bureau</t>
  </si>
  <si>
    <t>Credit teléphonique MTN PALF/ du 10 au 17 Mars 2026/Management/ Parfaite</t>
  </si>
  <si>
    <t>Reglement prestation de nettoyage  PALF du mois de Février 2026</t>
  </si>
  <si>
    <t>Taxi: Bureau -Banque BCI/ Rétrait espèces banque, appro caisse</t>
  </si>
  <si>
    <t xml:space="preserve"> Frais de prestation de nettoyage jardin PALF Février 2026</t>
  </si>
  <si>
    <t>Réglement facture électricité periode Janvier et Février 2026/bureau PALF</t>
  </si>
  <si>
    <t>Taxi: Bureau -Direction Energie Electrique du Congo/Règlement facture janvier et fevrier 2026</t>
  </si>
  <si>
    <t>Taxi: Direction Energie Electrique du Congo-Bureau</t>
  </si>
  <si>
    <t>Taxi: Bureau - Societé d'assurances SUNU/ paiement assurance du coordinateur PALF</t>
  </si>
  <si>
    <t>Taxi:  Societé d'assurances SUNU-Bureau</t>
  </si>
  <si>
    <t>Reglement facture internet periode du 18/03 au 18/04/2026 bureau PALF</t>
  </si>
  <si>
    <t>Frais de tansfert d'argent  à T73 par cf</t>
  </si>
  <si>
    <t>Transfert fees</t>
  </si>
  <si>
    <t>Frais de tansfert d'argent  à P29 et T73 par cf</t>
  </si>
  <si>
    <t>Taxi:  Bureau- Charden farell/ transfert d'argent à  T73</t>
  </si>
  <si>
    <t>Taxi: Charden Farell-Bureau</t>
  </si>
  <si>
    <t>Taxi:Bureau- Direction Canal Box/ Paiement internet du mois de Décembre 2025</t>
  </si>
  <si>
    <t>Taxi: Direction Canal Box-Bureau</t>
  </si>
  <si>
    <t>Taxi: Bureau- Direction MTN / Achat crédit télephonique equipe PALF</t>
  </si>
  <si>
    <t>Taxi: Direction MTN - Bureau</t>
  </si>
  <si>
    <t>Credit teléphonique MTN PALF/ du 18 au 24 Mars 2026/Management/ Parfaite</t>
  </si>
  <si>
    <t>Taxi:  Bureau- Cabinet d'avocat/remise du chèque du mois déc 2025, janv et fév 2026 Me LOCKO</t>
  </si>
  <si>
    <t>Taxi: Bureau - Societé d'assurances SUNU/ paiement assurance multirisque bureau PALF</t>
  </si>
  <si>
    <t>Taxi:  Bureau- Charden farell/ transfert d'argent à  P29</t>
  </si>
  <si>
    <t>Frais de tansfert d'argent  à IT87 par momo</t>
  </si>
  <si>
    <t>Taxi: Bureau- Direction MTN / transfert d'argent à IT87</t>
  </si>
  <si>
    <t>Taxi: Direction MTN -NSAI/paiement assurance rétraite coordinateur PALF</t>
  </si>
  <si>
    <t>Taxi: NSAI- Bureau</t>
  </si>
  <si>
    <t>Credit teléphonique MTN PALF/ du 25 au 31 Mars 2026/Management/ Parfaite</t>
  </si>
  <si>
    <t>Achat de 04 ampoule à crochet</t>
  </si>
  <si>
    <t>Taxi: Bureau- Marche mounglie / achat ampoule bureau PALF</t>
  </si>
  <si>
    <t>Taxi: Marché moungalie  - Bureau</t>
  </si>
  <si>
    <t>Frais de tansfert d'argent  à P29 et T73 par par momo</t>
  </si>
  <si>
    <t>Frais de photocopie de ordre de paiement et la decharge</t>
  </si>
  <si>
    <t>Taxi: Bureau -Banque BCI/Rétrait espèces et depot d'ordre de virement salaire du mois de mars 2026</t>
  </si>
  <si>
    <t>Taxi: Bureau- Direction MTN / transfert d'argent à P29 et T73</t>
  </si>
  <si>
    <t>Frais de tansfert d'argent  à Romain ,Donald-Roméo et  IT87 par momo</t>
  </si>
  <si>
    <t>Achat produits alimentaires et de nettoyages  lait/Bureau PALF</t>
  </si>
  <si>
    <t>Achat produits alimentaires et de nettoyages café/Bureau PALF</t>
  </si>
  <si>
    <t>Achat produits alimentaires et de nettoyages sucre 5 kg/Bureau PALF</t>
  </si>
  <si>
    <t>Achat produits alimentaires et de nettoyages  lipton/Bureau PALF</t>
  </si>
  <si>
    <t>Achat produits alimentaires et de nettoyages Nettoyant surface/Bureau PALF</t>
  </si>
  <si>
    <t>Achat produits alimentaires et de nettoyages  Javel/Bureau PALF</t>
  </si>
  <si>
    <t>Achat produits alimentaires et de nettoyages  Liquide vaiselle/Bureau PALF</t>
  </si>
  <si>
    <t>Achat produits alimentaires et de nettoyages  savons/Bureau PALF</t>
  </si>
  <si>
    <t>Achat produits alimentaires et de nettoyages detergent proclin/Bureau PALF</t>
  </si>
  <si>
    <t>Achat produits alimentaires et de nettoyages Papier toilette/Bureau PALF</t>
  </si>
  <si>
    <t>Achat produits alimentaires et de nettoyages  sac poubelle /Bureau PALF</t>
  </si>
  <si>
    <t>Taxi: Bureau- Direction MTN / transfert d'argent à IT87,Donald-roméo et romain</t>
  </si>
  <si>
    <t>Taxi: Bureau- Supermarché Moungali / achat Fournitures de bureau PALF</t>
  </si>
  <si>
    <t>Taxi: Supermarché Moungali  - Bureau</t>
  </si>
  <si>
    <t>Frais de ramassage Ordure Mars 2026</t>
  </si>
  <si>
    <t>Reglement prestation de nettoyage  PALF du mois de Mars 2026</t>
  </si>
  <si>
    <t xml:space="preserve"> Frais de prestation de nettoyage jardin PALF Mars 2026</t>
  </si>
  <si>
    <t xml:space="preserve">Taxi: Bureau- L'Immeuble   / Formation à l'UE </t>
  </si>
  <si>
    <t>Taxi: L'Immeuble - Bureau</t>
  </si>
  <si>
    <t>Taxi: Bureau-Lieu de Formation UE</t>
  </si>
  <si>
    <t>Taxi: Bureau- Cabinet d'avocat Maitre Locko/récuperation des rapport mensuel</t>
  </si>
  <si>
    <t>Taxi:  Cabinet d'avocat Maitre Locko- Bureau</t>
  </si>
  <si>
    <t>P-M-D1</t>
  </si>
  <si>
    <t>P-M-R1</t>
  </si>
  <si>
    <t>P-M-V1</t>
  </si>
  <si>
    <t>CA-M-R2</t>
  </si>
  <si>
    <t>CA-M-D6</t>
  </si>
  <si>
    <t>P-M-R2</t>
  </si>
  <si>
    <t>CA-M-R5</t>
  </si>
  <si>
    <t>CA-M-R8</t>
  </si>
  <si>
    <t>CA-M-R11</t>
  </si>
  <si>
    <t>CA-M-R12</t>
  </si>
  <si>
    <t>CA-M-R13</t>
  </si>
  <si>
    <t>CA-M-R14</t>
  </si>
  <si>
    <t>P-M-R3</t>
  </si>
  <si>
    <t>P-M-V2</t>
  </si>
  <si>
    <t>CA-M-R15</t>
  </si>
  <si>
    <t>P-M-R4</t>
  </si>
  <si>
    <t>CA-M-R18</t>
  </si>
  <si>
    <t>CA-M-R19</t>
  </si>
  <si>
    <t>CA-M-R20</t>
  </si>
  <si>
    <t>CA-M-R21</t>
  </si>
  <si>
    <t>CA-M-R22</t>
  </si>
  <si>
    <t>CA-M-R23</t>
  </si>
  <si>
    <t>CA-M-R24</t>
  </si>
  <si>
    <t>CA-M-R25</t>
  </si>
  <si>
    <t>CA-M-R26</t>
  </si>
  <si>
    <t>CA-M-R27</t>
  </si>
  <si>
    <t>P-M-V3</t>
  </si>
  <si>
    <t>Reçu de caisse/P29</t>
  </si>
  <si>
    <t>Credit telephonique MTN PALF/ du 04 au 09 Mars 2026/ Investigation/P29</t>
  </si>
  <si>
    <t>Transport Local</t>
  </si>
  <si>
    <t>Achat boisson</t>
  </si>
  <si>
    <t>Trust building</t>
  </si>
  <si>
    <t>Travel Subsistence</t>
  </si>
  <si>
    <t>Credit telephonique MTN PALF/ du 10  au 17 Mars 2026/ Investigation/P29</t>
  </si>
  <si>
    <t>investigation</t>
  </si>
  <si>
    <t xml:space="preserve">Achat boisson </t>
  </si>
  <si>
    <t>Credit telephonique MTN PALF/ du18  au 23 Mars 2026/ Investigation/P29</t>
  </si>
  <si>
    <t>Credit telephonique MTN PALF/ du 25 au 31 Mars 2026/ Investigation/P29</t>
  </si>
  <si>
    <t>P29-M-V1</t>
  </si>
  <si>
    <t>P29-M-R1</t>
  </si>
  <si>
    <t>P29-M-D1</t>
  </si>
  <si>
    <t>P29-M-D5</t>
  </si>
  <si>
    <t>P29-M-V2</t>
  </si>
  <si>
    <t>P29-M-R2</t>
  </si>
  <si>
    <t>P29-M-D2</t>
  </si>
  <si>
    <t>P29-M-R3</t>
  </si>
  <si>
    <t>P29-M-V3</t>
  </si>
  <si>
    <t>P29-M-R4</t>
  </si>
  <si>
    <t>P29-M-R5</t>
  </si>
  <si>
    <t>P29-M-R6</t>
  </si>
  <si>
    <t>P29-M-R7</t>
  </si>
  <si>
    <t>P29-M-R8</t>
  </si>
  <si>
    <t>P29-M-R9</t>
  </si>
  <si>
    <t>P29-M-R10</t>
  </si>
  <si>
    <t>P29-M-R11</t>
  </si>
  <si>
    <t>P29-M-V4</t>
  </si>
  <si>
    <t>P29-M-R12</t>
  </si>
  <si>
    <t>P29-M-R13</t>
  </si>
  <si>
    <t>P29-M-D4</t>
  </si>
  <si>
    <t>P29-M-R14</t>
  </si>
  <si>
    <t>P29-M-V5</t>
  </si>
  <si>
    <t>P29-M-R15</t>
  </si>
  <si>
    <t>P29-M-R16</t>
  </si>
  <si>
    <t>P29-M-R17</t>
  </si>
  <si>
    <t>P29-M-R18</t>
  </si>
  <si>
    <t>P29-M-V6</t>
  </si>
  <si>
    <t>P29-M-R19</t>
  </si>
  <si>
    <t>P29-M-R20</t>
  </si>
  <si>
    <t>P29-M-R21</t>
  </si>
  <si>
    <t>P29-M-R22</t>
  </si>
  <si>
    <t>P29-M-V7</t>
  </si>
  <si>
    <t>P29-M-R23</t>
  </si>
  <si>
    <t>P29-M-R24</t>
  </si>
  <si>
    <t>reçu de caisse/T73</t>
  </si>
  <si>
    <t>Tranport local</t>
  </si>
  <si>
    <t>Credit telephonique MTN PALF/ du 02 au 09 Mars 2026/ Investigation/T73</t>
  </si>
  <si>
    <t>réçu de caisse/T73</t>
  </si>
  <si>
    <t>trust building</t>
  </si>
  <si>
    <t>retour caisse/T73</t>
  </si>
  <si>
    <t>Credit telephonique MTN PALF/ du 10 au 17 Mars 2026/ Investigation/T73</t>
  </si>
  <si>
    <t>Réçu de caisse/T73</t>
  </si>
  <si>
    <t>Credit telephonique MTN PALF/ du 18 au 24 Mars 2026/ Investigation/T73</t>
  </si>
  <si>
    <t>Credit telephonique MTN PALF/ du 25 au 31 Mras 2026/ Investigation/T73</t>
  </si>
  <si>
    <t>T73-M-V1</t>
  </si>
  <si>
    <t>T73-M-D1</t>
  </si>
  <si>
    <t>T73-M-R1</t>
  </si>
  <si>
    <t>T73-M-D2</t>
  </si>
  <si>
    <t>T73-M-R2</t>
  </si>
  <si>
    <t>T73-M-V2</t>
  </si>
  <si>
    <t>T73-M-R4</t>
  </si>
  <si>
    <t>T73-M-R5</t>
  </si>
  <si>
    <t>T73-M-R6</t>
  </si>
  <si>
    <t>T73-M-R7</t>
  </si>
  <si>
    <t>T73-M-V3</t>
  </si>
  <si>
    <t>T73-M-V4</t>
  </si>
  <si>
    <t>T73-M-R8</t>
  </si>
  <si>
    <t>T73-M-R9</t>
  </si>
  <si>
    <t>T73-M-D3</t>
  </si>
  <si>
    <t>T73-M-R10</t>
  </si>
  <si>
    <t>T73-M-R11</t>
  </si>
  <si>
    <t>T73-M-V5</t>
  </si>
  <si>
    <t>T73-M-R12</t>
  </si>
  <si>
    <t>T73-M-R13</t>
  </si>
  <si>
    <t>T73-M-R14</t>
  </si>
  <si>
    <t>T73-M-R15</t>
  </si>
  <si>
    <t>T73-M-R16</t>
  </si>
  <si>
    <t>T73-M-R17</t>
  </si>
  <si>
    <t>T73-M-R18</t>
  </si>
  <si>
    <t>T73-M-R19</t>
  </si>
  <si>
    <t>T73-M-R20</t>
  </si>
  <si>
    <t>T73-M-V6</t>
  </si>
  <si>
    <t>T73-M-R21</t>
  </si>
  <si>
    <t>T73-M-V7</t>
  </si>
  <si>
    <t>T73-M-R22</t>
  </si>
  <si>
    <t>T73-M-R23</t>
  </si>
  <si>
    <t>T73-M-D4</t>
  </si>
  <si>
    <t>T73-M-R24</t>
  </si>
  <si>
    <t>T73-M-R25</t>
  </si>
  <si>
    <t>T73-M-R26</t>
  </si>
  <si>
    <t>T73-M-R27</t>
  </si>
  <si>
    <t>T73-M-R28</t>
  </si>
  <si>
    <t>T73-M-R29</t>
  </si>
  <si>
    <t>T73-M-R30</t>
  </si>
  <si>
    <t>T73-M-V8</t>
  </si>
  <si>
    <t>T73-M-R31</t>
  </si>
  <si>
    <t>T73-M-R32</t>
  </si>
  <si>
    <t>T73-M-R33</t>
  </si>
  <si>
    <t>T73-M-R34</t>
  </si>
  <si>
    <t>T73-M-R35</t>
  </si>
  <si>
    <t>T73-M-R36</t>
  </si>
  <si>
    <t>T73-M-R37</t>
  </si>
  <si>
    <t>T73-M-R38</t>
  </si>
  <si>
    <t>T73-M-V9</t>
  </si>
  <si>
    <t>T73-M-R39</t>
  </si>
  <si>
    <t>T73-M-R40</t>
  </si>
  <si>
    <t>Reçu de caisse/ IT87</t>
  </si>
  <si>
    <t>Credit telephonique MTN PALF/du 02 au 09 Mars 2026/Investigation /IT87</t>
  </si>
  <si>
    <t>Trust Building</t>
  </si>
  <si>
    <t>Credit telephonique MTN PALF/du 10 au 17 Mars 2026/Investigation/IT87</t>
  </si>
  <si>
    <t>Credit telephonique MTN PALF/du 18 au 24 Mars 2026/Investigation/IT87</t>
  </si>
  <si>
    <t>Credit telephonique MTN PALF/du 25 au 31 Mars 2026/Investigation/IT87</t>
  </si>
  <si>
    <t>IT87-M-V1</t>
  </si>
  <si>
    <t>IT87-M-V2</t>
  </si>
  <si>
    <t>IT87-M-D1</t>
  </si>
  <si>
    <t>IT87-M-R1</t>
  </si>
  <si>
    <t>IT87-M-R2</t>
  </si>
  <si>
    <t>IT87-M-D3</t>
  </si>
  <si>
    <t>IT87-M-R3</t>
  </si>
  <si>
    <t>IT87-M-D2</t>
  </si>
  <si>
    <t>IT87-M-V3</t>
  </si>
  <si>
    <t>IT87-M-R4</t>
  </si>
  <si>
    <t>IT87-M-R5</t>
  </si>
  <si>
    <t>IT87-M-R6</t>
  </si>
  <si>
    <t>IT87-M-R7</t>
  </si>
  <si>
    <t>IT87-M-V4</t>
  </si>
  <si>
    <t>IT87-M-D4</t>
  </si>
  <si>
    <t>IT87-M-R8</t>
  </si>
  <si>
    <t>IT87-M-R9</t>
  </si>
  <si>
    <t>IT87-M-V5</t>
  </si>
  <si>
    <t>IT87-M-R10</t>
  </si>
  <si>
    <t>IT87-M-R11</t>
  </si>
  <si>
    <t>IT87-M-R12</t>
  </si>
  <si>
    <t>IT87-M-R13</t>
  </si>
  <si>
    <t>IT87-M-R14</t>
  </si>
  <si>
    <t>IT87-M-R15</t>
  </si>
  <si>
    <t>IT87-M-R16</t>
  </si>
  <si>
    <t>IT87-M-R17</t>
  </si>
  <si>
    <t>IT87-M-V6</t>
  </si>
  <si>
    <t>IT87-M-R18</t>
  </si>
  <si>
    <t>IT87-M-D5</t>
  </si>
  <si>
    <t>IT87-M-R19</t>
  </si>
  <si>
    <t>IT87-M-R20</t>
  </si>
  <si>
    <t>IT87-M-V7</t>
  </si>
  <si>
    <t>IT87-M-R21</t>
  </si>
  <si>
    <t>IT87-M-V8</t>
  </si>
  <si>
    <t>IT87-M-V9</t>
  </si>
  <si>
    <t>IT87-M-R22</t>
  </si>
  <si>
    <t>IT87-M-R23</t>
  </si>
  <si>
    <t>IT87-M-R24</t>
  </si>
  <si>
    <t>IT87-M-R25</t>
  </si>
  <si>
    <t>Paiement prime de fin d'année 2025/ Abraham</t>
  </si>
  <si>
    <t>CA-M-D5</t>
  </si>
  <si>
    <t>Paiement prime de fin d'année 2025/Roderlin</t>
  </si>
  <si>
    <t>CA-M-D4</t>
  </si>
  <si>
    <t>Credit telephonique MTN PALF/ du 04 au 09 Mars 2026/Legal//Donald-Roméo</t>
  </si>
  <si>
    <t>Paiement prime de fin d'année 2025/ Donald-Romeo</t>
  </si>
  <si>
    <t>Taxi Bureau- ACFAP/ Deposer les rapports annuels</t>
  </si>
  <si>
    <t>Taxi ACFAP-Bureau</t>
  </si>
  <si>
    <t>Taxi Bureau- ACFAP/ Deposer les rapports annuels après les observations</t>
  </si>
  <si>
    <t>Credit telephonique MTN PALF/ du 10 au 17 Mars 2026/Legal//Donald-Roméo</t>
  </si>
  <si>
    <t>Credit telephonique MTN PALF/ du 18 au 24 Mars 2026/Legal//Donald-Roméo</t>
  </si>
  <si>
    <t>Credit telephonique MTN PALF/ du 25 au 31 Mars 2026/Legal//Donald-Roméo</t>
  </si>
  <si>
    <t>Taxi Bureau- Agence océan du nord d'angola libre/ Achat billet pour sibiti</t>
  </si>
  <si>
    <t>Taxi  Agence océan du nord d'angola libre-Bureau</t>
  </si>
  <si>
    <t>Reçu caisse/ Donald-Roméo</t>
  </si>
  <si>
    <t>Achat billet Brazzaville-Sibiti/ Donald-Roméo</t>
  </si>
  <si>
    <t>Transport Inter Urbain</t>
  </si>
  <si>
    <t>Taxi Domicile- Agence océan du nord d'angola libre/ pour sibiti</t>
  </si>
  <si>
    <t>Taxi moto agence océan du Nord- Hôtel le Papyrus/ Sibiti</t>
  </si>
  <si>
    <t>Donald-Roméo-CONGO Ration  du  26 au 29/03/2026 à Sibiti</t>
  </si>
  <si>
    <t>Taxi moto Hôtel le Papyrus-DDEF/ Rencontrer le DDPI</t>
  </si>
  <si>
    <t>Taxi moto DDEF-TGI/ Rencontrer le Procureur</t>
  </si>
  <si>
    <t>Taxi moto TGI-Region de gendarmerie / Rencontrer le COMREG</t>
  </si>
  <si>
    <t>Taxi moto Maison d'arrêt-Hôtel le Papyrus</t>
  </si>
  <si>
    <t>Ration un detenu/ MANKOUSSOU Auzere/ Maison d'arrêt de Sibiti/ Soir</t>
  </si>
  <si>
    <t>Taxi moto Hôtel le Papyrus-Maison d'arrêt</t>
  </si>
  <si>
    <t>Taxi moto Maison d'arrêt-TGI/ Rencontrer le Président du tribunal</t>
  </si>
  <si>
    <t>Taxi moto TGI-Agence ocean du Nort/ Reservation du billet</t>
  </si>
  <si>
    <t>Achat billet Sibiti- Brazzaville/ Donald-Roméo</t>
  </si>
  <si>
    <t>Donald-Roméo-CONGO Frais d'hôtel   du  26 au 29/03/2026 à Sibiti (3 nuitées)</t>
  </si>
  <si>
    <t>Taxi Hôtel le Papyrus-Agence ocean du Nort/ Reservation du billet</t>
  </si>
  <si>
    <t>Taxi  Agence océan du nord de Moungali-Domicile</t>
  </si>
  <si>
    <t>Taxi Bureau- Agence Trans Bony de la Frontière/ Resevation billets pour Ouesso</t>
  </si>
  <si>
    <t>Taxi  Agence Trans Bony de la Frontière-Bureau</t>
  </si>
  <si>
    <t>Achat billet Brazzaville-Ouesso/ Donald-Roméo</t>
  </si>
  <si>
    <t>Taxi Domicile- Agence Trans Bony de la Frontière/ pour Ouesso</t>
  </si>
  <si>
    <t>Taxi  Agence Trans Bony de Ouesso-Hôtel Royal</t>
  </si>
  <si>
    <t>Donald-Roméo-CONGO Ration  du  31 mars au 05/04/2026 à Ouesso</t>
  </si>
  <si>
    <t>DR-M-R1</t>
  </si>
  <si>
    <t>CA-M-D2</t>
  </si>
  <si>
    <t>DR-M-D1</t>
  </si>
  <si>
    <t>DR-M-R2</t>
  </si>
  <si>
    <t>DR-M-R3</t>
  </si>
  <si>
    <t>DR-M-R4</t>
  </si>
  <si>
    <t>DR-M-V1</t>
  </si>
  <si>
    <t>DR-M-R5</t>
  </si>
  <si>
    <t>DR-M-D3</t>
  </si>
  <si>
    <t>DR-M-D2</t>
  </si>
  <si>
    <t>DR-M-V2</t>
  </si>
  <si>
    <t>DR-M-R6</t>
  </si>
  <si>
    <t>DR-M-R7</t>
  </si>
  <si>
    <t>DR-M-R8</t>
  </si>
  <si>
    <t>DR-M-V3</t>
  </si>
  <si>
    <t>DR-M-D4</t>
  </si>
  <si>
    <t>Credit telephonique MTN PALF/du 04 au 09 Mars 2026/Média/ Evariste</t>
  </si>
  <si>
    <t>Paiement prime de fin d'année 2025/ Evariste</t>
  </si>
  <si>
    <t>Credit telephonique MTN PALF/du 10 au 17 Mars 2026/Evariste/ Evariste</t>
  </si>
  <si>
    <t>Bonus media portant sur le bilan des activités PALF de l'année 2025 pieces presse Internet (https://www.panoramik-actu.com)</t>
  </si>
  <si>
    <t>Bonus to media officer</t>
  </si>
  <si>
    <t>Bonus media portant sur le bilan des activités PALF de l'année 2025 pieces presse Internet(https://www.tribune-eco.cg)</t>
  </si>
  <si>
    <t>Bonus media portant sur le bilan des activités PALF de l'année 2025 pieces presse Internet(https://www.groupecongomedias.com)</t>
  </si>
  <si>
    <t>Bonus media portant sur le bilan des activités PALF de l'année 2025 pieces presse Internet (https://www.labreveonline.com)</t>
  </si>
  <si>
    <t>Bonus media portant sur le bilan des activités PALF de l'année 2025 pieces presse Internet (https://www.adiac-congo.com)</t>
  </si>
  <si>
    <t>Bonus media portant sur le bilan des activités PALF de l'année 2025 pieces presse Internet (https://www.lasemaineafricaine.info)</t>
  </si>
  <si>
    <t>Bonus media portant sur le bilan des activités PALF de l'année 2025 pieces presse Internet (https://www.matinlibre.cg)</t>
  </si>
  <si>
    <t>Bonus media portant sur le bilan des activités PALF de l'année 2025 pieces presse Internet (https://www.firstmediac.com)</t>
  </si>
  <si>
    <t>Bonus media portant sur le bilan des activités PALF de l'année 2025 pieces presse Internet (https://www.journaldebrazza.com)</t>
  </si>
  <si>
    <t>Bonus media portant sur le bilan des activités PALF de l'année 2025 pieces presse Internet (https://vmmedias.info)</t>
  </si>
  <si>
    <t>Bonus media portant sur le bilan des activités PALF de l'année 2025 pieces presse Internet (https://aci.cg)</t>
  </si>
  <si>
    <t>Bonus media portant sur le bilan des activités PALF de l'année 2025 pieces presse Internet (https://lesechos-congobrazza.com/)</t>
  </si>
  <si>
    <t>Bonus media portant sur le bilan des activités PALF de l'année 2025 pieces presse Internet (https://opinionpublique.cg)</t>
  </si>
  <si>
    <t>Bonus media portant sur le bilan des activités PALF de l'année 2025 pieces presse Internet (https://www.lhorizonafricain.com)</t>
  </si>
  <si>
    <t>Bonus media portant sur le bilan des activités PALF de l'année 2025 pieces presse papier (les depêches de brazzaville)</t>
  </si>
  <si>
    <t>Bonus media portant sur le bilan des activités PALF de l'année 2025 pieces presse papier( la Semaine Africaine)</t>
  </si>
  <si>
    <t>Bonus media portant sur le bilan des activités PALF de l'année 2025 pieces presse papier  l'horizion africain</t>
  </si>
  <si>
    <t>Bonus media portant sur le bilan des activités PALF de l'année 2025 pieces presse papier l'Agence Congolaise de l'Information</t>
  </si>
  <si>
    <t>Bonus media portant sur le bilan des activités PALF de l'année 2025 presse Radio citoyenne des jeunes</t>
  </si>
  <si>
    <t>Bonus media portant sur le bilan des activités PALF de l'année 2025 presse Radio Liberté ( 03 pièces: français, Kituba, et Lingala</t>
  </si>
  <si>
    <t>Taxi, Bureau PALF-Les Dépêches de Brazzaville</t>
  </si>
  <si>
    <t>Taxi, Les Dépêches de Brazzaville-Radio Liberté</t>
  </si>
  <si>
    <t>Taxi, Radio Liberté-groupecongomedias.com</t>
  </si>
  <si>
    <t>Taxi, groupecongomedias.com-lesechos-congobrazza.com</t>
  </si>
  <si>
    <t>Taxi, lesechos-congobrazza.com-panoramik-actu.com</t>
  </si>
  <si>
    <t>Taxi, panoramik-actu.com-tribune-eco.com</t>
  </si>
  <si>
    <t>Taxi, tribune-eco.com-La Semaine Africaine</t>
  </si>
  <si>
    <t>Taxi, La Semaine Africaine-firstmediac.com</t>
  </si>
  <si>
    <t>Taxi, firstmediac.com-opinionpublique.cg</t>
  </si>
  <si>
    <t>Taxi, opinionpublique.cg-panoramik-actu.com</t>
  </si>
  <si>
    <t>Taxi, panoramik-actu.com-Bureau PALF</t>
  </si>
  <si>
    <t>Credit telephonique MTN PALF/du 25 au 31 Mars 2026/Evariste/ Evariste</t>
  </si>
  <si>
    <t>Taxi, Bureau PALF-DGEF</t>
  </si>
  <si>
    <t>Achat billet, Brazzaville-Ouesso/ Evariste</t>
  </si>
  <si>
    <t>Reçu de la caisse</t>
  </si>
  <si>
    <t>Taxi, Domicile-Agence Trans Bony de Brazzaville</t>
  </si>
  <si>
    <t>Taxi, Agence Trans Bony de Ouesso-Royal Hôtel</t>
  </si>
  <si>
    <t>Evariste CONGO- Ration du 31 mars au 05 avril 2026 à Ouesso et Pokol ( 5 nuitées )</t>
  </si>
  <si>
    <t>EV-M-R1</t>
  </si>
  <si>
    <t>CA-M-D1</t>
  </si>
  <si>
    <t>EV-M-R2</t>
  </si>
  <si>
    <t>CA-M-D7</t>
  </si>
  <si>
    <t>CA-M-D8</t>
  </si>
  <si>
    <t>CA-M-D9</t>
  </si>
  <si>
    <t>EV-M-D1</t>
  </si>
  <si>
    <t>EV-M-R3</t>
  </si>
  <si>
    <t>EV-M-R4</t>
  </si>
  <si>
    <t>EV-M-R5</t>
  </si>
  <si>
    <t>EV-M-V1</t>
  </si>
  <si>
    <t>EV-M-D2</t>
  </si>
  <si>
    <t>Taxi: Bureau-Charden Farel(pour le transfert des fonds)</t>
  </si>
  <si>
    <t>Credit telephonique MTN PALF/du 04 au 09 Mars 2026/Legal/Romain</t>
  </si>
  <si>
    <t>Frais de tansfert d'argent  à T73  et IT87 par cf</t>
  </si>
  <si>
    <t xml:space="preserve">Achat carburant groupe electrogène Bureau </t>
  </si>
  <si>
    <t>Credit telephonique MTN PALF/du 10 au 17 Mars 2026/Legal/Romain</t>
  </si>
  <si>
    <t>Frais de tansfert d'argent  à P29, et IT87 par cf</t>
  </si>
  <si>
    <t>Taxi: Burau-Charden Farell</t>
  </si>
  <si>
    <t>Achat de 10 bonbonne d'eau mineral 10 LITRES/Bureau</t>
  </si>
  <si>
    <t>Taxi: Bureau-Charden Farel</t>
  </si>
  <si>
    <t>Credit telephonique MTN PALF/du 18 au 24 Mars 2026/Legal/Romain</t>
  </si>
  <si>
    <t>Credit telephonique MTN PALF/du 25 au 31 Mars 2026/Legal/Romain</t>
  </si>
  <si>
    <t>Recu Caisse/Jean Romain</t>
  </si>
  <si>
    <t>Taxi: Bureau-Agence Trans Bony de la Frontière pour la reservation du billet</t>
  </si>
  <si>
    <t>Achat  billet Brazzaville-Madingou/ Romain</t>
  </si>
  <si>
    <t>Transport Interubain</t>
  </si>
  <si>
    <t>Taxi: Trans Bony de la Frontière-Bureau</t>
  </si>
  <si>
    <t>Taxi: Domicle-Agence Trans Bony de la Frontère</t>
  </si>
  <si>
    <t>Taxi-moto: Agence Trans Bony de Madingou-Hotel Dzongo</t>
  </si>
  <si>
    <t>Taxi moto: Hotel DZONGO-Marché(pour acheter la ration du prevenu)</t>
  </si>
  <si>
    <t>Achat de la ration du détenu NTONDELE MOUKOKO Fulgence/ Commissariat de Police de Madingou/ Soir</t>
  </si>
  <si>
    <t>jail visit</t>
  </si>
  <si>
    <t>Taxi moto: Commissariat de Police de Madingou-Hotel Dzongo</t>
  </si>
  <si>
    <t>ROMAIN-CONGO:Ration du 26 au 28/03/2026 à Madingou</t>
  </si>
  <si>
    <t>Achat de la ration du détenu NTONDELE MOUKOKO Fulgence/ Commissariat de Police de Madingou/ Matin</t>
  </si>
  <si>
    <t>Taxi moto: Marché -Commisariat de Police</t>
  </si>
  <si>
    <t>Taxi moto: Commissariat de Police-DDEF</t>
  </si>
  <si>
    <t>versement</t>
  </si>
  <si>
    <t>Achat  billet  Madingou-Brazzaville/ Romain</t>
  </si>
  <si>
    <t>Taxi moto: Agence Trans bony de Madingou-Hotel DZONGO</t>
  </si>
  <si>
    <t>Taxi moto: Hotel DZONGO-Commissariat de Police</t>
  </si>
  <si>
    <t>Taxi moto: Commissariat de Police-Hotel Dzongo</t>
  </si>
  <si>
    <t>ROMAIN-Congo: Frais d'Hotel à Madingou du 26 au 28/03/2026 (02) nuitées</t>
  </si>
  <si>
    <t>Taxi moto: Hotel Dzongo-Agence Trans Bony de Madingou</t>
  </si>
  <si>
    <t>Taxi: Agence Trans Bony de Bifouiti-Domicile</t>
  </si>
  <si>
    <t>Achat  billet Brazzaville-Ouesso/ Romain</t>
  </si>
  <si>
    <t>Taxi; Domicile-Agence Trans Bony de la Frontière</t>
  </si>
  <si>
    <t xml:space="preserve">Taxi: Agence Trans Bony  de Ouesso-Hotel Royal </t>
  </si>
  <si>
    <t>ROMAIN -CONGO: Ration du 31/05/2026 au 05/04/2026 à Ouesso</t>
  </si>
  <si>
    <t>RM-M-D1</t>
  </si>
  <si>
    <t>RM-M-R1</t>
  </si>
  <si>
    <t>CA-M-R1</t>
  </si>
  <si>
    <t>CA-M-R3</t>
  </si>
  <si>
    <t>RM-M-R2</t>
  </si>
  <si>
    <t>CA-M-R4</t>
  </si>
  <si>
    <t>CA-M-R6</t>
  </si>
  <si>
    <t>CA-M-R7</t>
  </si>
  <si>
    <t>RM-M-R3</t>
  </si>
  <si>
    <t>CA-M-R16</t>
  </si>
  <si>
    <t>RM-M-R4</t>
  </si>
  <si>
    <t>RM-M-V1</t>
  </si>
  <si>
    <t>RM-M-R5</t>
  </si>
  <si>
    <t>RM-M-D3</t>
  </si>
  <si>
    <t>RM-M-D2</t>
  </si>
  <si>
    <t>RM-M-V2</t>
  </si>
  <si>
    <t>RM-M-R6</t>
  </si>
  <si>
    <t>RM-M-R7</t>
  </si>
  <si>
    <t>RM-M-V3</t>
  </si>
  <si>
    <t>RM-M-R8</t>
  </si>
  <si>
    <t>RM-M-D4</t>
  </si>
  <si>
    <t>Solde au 01/03/2026</t>
  </si>
  <si>
    <t>Solde  au 01/03/2026</t>
  </si>
  <si>
    <t>Report au 01/03/2026</t>
  </si>
  <si>
    <t>Achat credit  teléphonique MTN  PALF</t>
  </si>
  <si>
    <t xml:space="preserve">Achat credit  teléphonique MTN/PALF/Du 10 au 17/03/2026 </t>
  </si>
  <si>
    <t xml:space="preserve">Achat credit  teléphonique MTN/PALF/Du 18 au 24/03/2026 </t>
  </si>
  <si>
    <t xml:space="preserve">Achat credit  teléphonique MTN/PALF/Du 25 au 31/03/2026 </t>
  </si>
  <si>
    <t>Retrait espèces/3655255</t>
  </si>
  <si>
    <t>Média</t>
  </si>
  <si>
    <t xml:space="preserve">Office </t>
  </si>
  <si>
    <t>CA-M-V2</t>
  </si>
  <si>
    <t>CA-M-V3</t>
  </si>
  <si>
    <t>CA-M-V4</t>
  </si>
  <si>
    <t>CA-M-V5</t>
  </si>
  <si>
    <t>CA-M-V6</t>
  </si>
  <si>
    <t>CA-M-V7</t>
  </si>
  <si>
    <t>CA-M-V8</t>
  </si>
  <si>
    <t>CA-M-V9</t>
  </si>
  <si>
    <t>CA-M-V10</t>
  </si>
  <si>
    <t>CA-M-V11</t>
  </si>
  <si>
    <t>CA-M-V12</t>
  </si>
  <si>
    <t>CA-M-V13</t>
  </si>
  <si>
    <t>CA-M-V14</t>
  </si>
  <si>
    <t>CA-M-V15</t>
  </si>
  <si>
    <t>CA-M-V16</t>
  </si>
  <si>
    <t>Crepin</t>
  </si>
  <si>
    <t>CA-M-V17</t>
  </si>
  <si>
    <t>CA-M-V18</t>
  </si>
  <si>
    <t>CA-M-V19</t>
  </si>
  <si>
    <t>CA-M-V20</t>
  </si>
  <si>
    <t>CA-M-V21</t>
  </si>
  <si>
    <t>CA-M-V22</t>
  </si>
  <si>
    <t>CA-M-V23</t>
  </si>
  <si>
    <t>CA-M-V24</t>
  </si>
  <si>
    <t>CA-M-V25</t>
  </si>
  <si>
    <t>CA-M-V26</t>
  </si>
  <si>
    <t>CA-M-V27</t>
  </si>
  <si>
    <t>CA-M-V28</t>
  </si>
  <si>
    <t>CA-M-V29</t>
  </si>
  <si>
    <t>CA-M-V30</t>
  </si>
  <si>
    <t>CA-M-V31</t>
  </si>
  <si>
    <t>CA-M-V32</t>
  </si>
  <si>
    <t>CA-M-V33</t>
  </si>
  <si>
    <t>CA-M-V34</t>
  </si>
  <si>
    <t>CA-M-V35</t>
  </si>
  <si>
    <t>CA-M-V36</t>
  </si>
  <si>
    <t>CA-M-V37</t>
  </si>
  <si>
    <t>CA-M-V38</t>
  </si>
  <si>
    <t>CA-M-V39</t>
  </si>
  <si>
    <t>CA-M-V40</t>
  </si>
  <si>
    <t>CA-M-V41</t>
  </si>
  <si>
    <t>CA-M-V42</t>
  </si>
  <si>
    <t>CA-M-V43</t>
  </si>
  <si>
    <t>CA-M-V44</t>
  </si>
  <si>
    <t>CA-M-V45</t>
  </si>
  <si>
    <t>CA-M-V46</t>
  </si>
  <si>
    <t>CA-M-V47</t>
  </si>
  <si>
    <t>Mars</t>
  </si>
  <si>
    <t>Retrait espèces/3655239</t>
  </si>
  <si>
    <t>Virement des fonds par la fondation Aspinall</t>
  </si>
  <si>
    <t>Paiement salaire du mois de Janvier 2026/LOUNDOU Jean Romain/3655242</t>
  </si>
  <si>
    <t>Paiement salaire du mois de Janvier 2026/Crepin IBOUILI-IBOUILI</t>
  </si>
  <si>
    <t>Paiement salaire du mois de Janvier 2026/PINDI BINGA Donald- Roméo</t>
  </si>
  <si>
    <t>Paiement salaire du mois de Janvier 2026/Evariste LELOUSSI</t>
  </si>
  <si>
    <t>Paiement salaire du mois de Février 2026/Crepin IBOUILI-IBOUILI</t>
  </si>
  <si>
    <t>Paiement salaire du mois de Février 2026/PINDI BINGA Donald- Roméo</t>
  </si>
  <si>
    <t>Paiement salaire du mois de Février 2026/Evariste LELOUSSI</t>
  </si>
  <si>
    <t>Reglement honoraire du mois de Janvier 2026/T73/3655244</t>
  </si>
  <si>
    <t>Reglement honoraire du mois de Février 2026/T73/3655244</t>
  </si>
  <si>
    <t>Reglement honoraire du mois de Janvier 2026/IT87/3655245</t>
  </si>
  <si>
    <t>Reglement honoraire du mois de Février 2026/IT87/3655245</t>
  </si>
  <si>
    <t>Reglement honoraire du mois de Janvier 2026/P29/3655246</t>
  </si>
  <si>
    <t>Reglement honoraire du 17 au 28 Février 2026/P29/3655246</t>
  </si>
  <si>
    <t>Retrait espèces/3655247</t>
  </si>
  <si>
    <t>Solde du dernier acompte  sur  salaire du mois de décembre 2025/Homéfa DOVI/3655249</t>
  </si>
  <si>
    <t>Paiement salaire du mois de Janvier 2026/Homéfa DOVI/3655249</t>
  </si>
  <si>
    <t>Paiement salaire du mois de Janvier 2026/BAVOUMINA NZOUSSI Dina Parfaite/3655248</t>
  </si>
  <si>
    <t>Paiement salaire du mois de Février 2026 fin du premier contrat et congé/BAVOUMINA NZOUSSI Dina Parfaite/3655248</t>
  </si>
  <si>
    <t>Paiement salaire du mois de Février 2026 nouveau contrat/BAVOUMINA NZOUSSI Dina Parfaite/3655248</t>
  </si>
  <si>
    <t>Frais de virement salaire du mois de Janvier 2026</t>
  </si>
  <si>
    <t>Frais de virement salaire du mois de Février 2026</t>
  </si>
  <si>
    <t>Retrait espèces/3655253</t>
  </si>
  <si>
    <t>Reglement frais d'assurance multi risque/Bureau PALF/3655254</t>
  </si>
  <si>
    <t>Paiement salaire du mois de mars 2026/LOUNDOU Jean Romain/3655</t>
  </si>
  <si>
    <t>Paiement salaire du mois de mars 2026/Crepin IBOUILI-IBOUILI</t>
  </si>
  <si>
    <t>Paiement salaire du mois de mars  2026 et congé /PINDI BINGA Donald- Roméo</t>
  </si>
  <si>
    <t>Paiement salaire du mois de mars 2026/Evariste LELOUSSI</t>
  </si>
  <si>
    <t>Paiement salaire du mois de mars 2026/Homéfa DOVI/3655257</t>
  </si>
  <si>
    <t>Paiement salaire du mois de mars 2026/BAVOUMINA NZOUSSI Dina Parfaite/3655256</t>
  </si>
  <si>
    <t>Frais de virement salaire du mois de Mars 2026</t>
  </si>
  <si>
    <t>Reglement honoraire du mois de Mars 2026/IT87/3655259</t>
  </si>
  <si>
    <t>Report de solde du 01/03/2026</t>
  </si>
  <si>
    <t>BQ-M-R1</t>
  </si>
  <si>
    <t>BQ-M-R2</t>
  </si>
  <si>
    <t>BQ-M-R3</t>
  </si>
  <si>
    <t>BQ-M-R4</t>
  </si>
  <si>
    <t>BQ-M-R5</t>
  </si>
  <si>
    <t>BQ-M-R6</t>
  </si>
  <si>
    <t>BQ-M-R7</t>
  </si>
  <si>
    <t>BQ-M-R8</t>
  </si>
  <si>
    <t>BQ-M-R9</t>
  </si>
  <si>
    <t>BQ-M-R10</t>
  </si>
  <si>
    <t>BQ-M-R11</t>
  </si>
  <si>
    <t>BQ-M-R12</t>
  </si>
  <si>
    <t>BQ-M-R13</t>
  </si>
  <si>
    <t>BQ-M-R14</t>
  </si>
  <si>
    <t>BQ-M-R15</t>
  </si>
  <si>
    <t>BQ-M-R16</t>
  </si>
  <si>
    <t>BQ-M-R17</t>
  </si>
  <si>
    <t>BQ-M-R18</t>
  </si>
  <si>
    <t>BQ-M-R19</t>
  </si>
  <si>
    <t>BQ-M-R20</t>
  </si>
  <si>
    <t>BQ-M-R21</t>
  </si>
  <si>
    <t>BQ-M-R22</t>
  </si>
  <si>
    <t>BQ-M-R23</t>
  </si>
  <si>
    <t>BQ-M-R24</t>
  </si>
  <si>
    <t>BQ-M-R25</t>
  </si>
  <si>
    <t>BQ-M-R26</t>
  </si>
  <si>
    <t>BQ-M-R27</t>
  </si>
  <si>
    <t>BQ-M-R28</t>
  </si>
  <si>
    <t>BQ-M-R29</t>
  </si>
  <si>
    <t>BQ-M-R30</t>
  </si>
  <si>
    <t>BQ-M-R31</t>
  </si>
  <si>
    <t>BQ-M-R32</t>
  </si>
  <si>
    <t>BQ-M-R33</t>
  </si>
  <si>
    <t>BQ-M-R34</t>
  </si>
  <si>
    <t>BQ-M-R35</t>
  </si>
  <si>
    <t>BQ-M-R36</t>
  </si>
  <si>
    <t>BQ-M-R37</t>
  </si>
  <si>
    <t>BQ-M-R38</t>
  </si>
  <si>
    <t>BQ-M-R39</t>
  </si>
  <si>
    <t>BQ-M-V2</t>
  </si>
  <si>
    <t>BQ-M-G1</t>
  </si>
  <si>
    <t>BQ-M-V3</t>
  </si>
  <si>
    <t>BQ-M-V4</t>
  </si>
  <si>
    <t>BQ-M-V5</t>
  </si>
  <si>
    <t>Frais de virement salaire du mois de janvier 2026</t>
  </si>
  <si>
    <t>Frais de virement salaire du mois de mars 2026</t>
  </si>
  <si>
    <t>Frais de virement salaire du mois de février 2026</t>
  </si>
  <si>
    <t>01/03/2026 of the month Balance and advance</t>
  </si>
  <si>
    <t>FINANCIAL POSITION AT 01/03/2026</t>
  </si>
  <si>
    <t>FINANCIAL POSITION AT 31/03/2026</t>
  </si>
  <si>
    <t>31/03/2026 of the month  Balance and advance</t>
  </si>
  <si>
    <t>Paiement salaire du mois de Février 2026/LOUNDOU Jean Romain/3655242</t>
  </si>
  <si>
    <t>Paiement salaire du mois de Février 2026/Homéfa DOVI/3655249</t>
  </si>
  <si>
    <t>Credit telephonique MTN PALF/du 18 au 24 Mars 2026/Evariste/ Evariste</t>
  </si>
  <si>
    <t>Credit telephonique MTN/PALF/ du 02 au 09 Mars  2026/ DOVI</t>
  </si>
  <si>
    <t>Reglement  Facture Gardiennage du mois de Janvier 2026/3655241</t>
  </si>
  <si>
    <t>Reglement Loyer du Mois de Janvier 2026/3655240</t>
  </si>
  <si>
    <t>Reglement Facture Gardiennage du mois de Janvier 2026/3655241</t>
  </si>
  <si>
    <t>Reglement Loyer  du Mois de Janvier 2026/3655240</t>
  </si>
  <si>
    <t>Reglement Loyer du mois de Janvier 2026/3655240</t>
  </si>
  <si>
    <t>Reglement Loyer du  Mois de Janvier 2026/3655240</t>
  </si>
  <si>
    <t>Reglement Facture Gardiennage Mois de Février 2026/3655251</t>
  </si>
  <si>
    <t>Reglement loyer du mois de Février 2026/3655250</t>
  </si>
  <si>
    <t>Reglement Facture Gardiennage du mois de Février 2026/3655251</t>
  </si>
  <si>
    <t>Paiement salaire du mois de mars 2026/LOUNDOU Jean Romain/3655258</t>
  </si>
  <si>
    <t>Paiement Honoraire Me LOCKO/Mois de décembre 2025 /3655252</t>
  </si>
  <si>
    <t>Paiement Honoraire Me LOCKO/Mois de Janvier 2026 /3655252</t>
  </si>
  <si>
    <t>Paiement Honoraire Me LOCKO/Mois de Février 2026 /3655252</t>
  </si>
  <si>
    <t>T73-M-R41</t>
  </si>
  <si>
    <t>Popisky řádků</t>
  </si>
  <si>
    <t>II</t>
  </si>
  <si>
    <t>III</t>
  </si>
  <si>
    <t>I</t>
  </si>
  <si>
    <t>Celkový součet</t>
  </si>
  <si>
    <t xml:space="preserve">Taxi : bureau - agence </t>
  </si>
  <si>
    <t xml:space="preserve">Taxi : agence </t>
  </si>
  <si>
    <t xml:space="preserve">Taxi : </t>
  </si>
  <si>
    <t>Achat billet:</t>
  </si>
  <si>
    <t xml:space="preserve">Taxi moto : </t>
  </si>
  <si>
    <t xml:space="preserve">Achat billet </t>
  </si>
  <si>
    <t>Taxi :</t>
  </si>
  <si>
    <t xml:space="preserve">IT87- CONGO Ration </t>
  </si>
  <si>
    <t>Taxi moto :</t>
  </si>
  <si>
    <t>Achat  boisson</t>
  </si>
  <si>
    <t xml:space="preserve">Taxi </t>
  </si>
  <si>
    <t xml:space="preserve">T73 - CONGO Frais d'hotel </t>
  </si>
  <si>
    <t xml:space="preserve">Achat billet : </t>
  </si>
  <si>
    <t>Achat boison</t>
  </si>
  <si>
    <t xml:space="preserve">Taxi  </t>
  </si>
  <si>
    <t>Taxi</t>
  </si>
  <si>
    <t>IT87- CONGO Frais d'hôtel</t>
  </si>
  <si>
    <t xml:space="preserve">achat billet : </t>
  </si>
  <si>
    <t xml:space="preserve">Achat boissons </t>
  </si>
  <si>
    <t xml:space="preserve">IT87- CONGO Frais d'hôtel </t>
  </si>
  <si>
    <t>Achat billet</t>
  </si>
  <si>
    <t>P29 - CONGO Ration</t>
  </si>
  <si>
    <t xml:space="preserve">Achat billet: </t>
  </si>
  <si>
    <t xml:space="preserve">T73- CONGO Ration </t>
  </si>
  <si>
    <t xml:space="preserve">Achat boissons avec </t>
  </si>
  <si>
    <t>T73 - CONGO Frais d'hotel</t>
  </si>
  <si>
    <t>Traverser rivière</t>
  </si>
  <si>
    <t>Achat boissons</t>
  </si>
  <si>
    <t xml:space="preserve">P29 -CONGO Frais d'hotel </t>
  </si>
  <si>
    <t>Taxi moto</t>
  </si>
  <si>
    <t xml:space="preserve">Taxi moto </t>
  </si>
  <si>
    <t>Taxi moto :)</t>
  </si>
  <si>
    <t xml:space="preserve">IT87- CONGO Frais d'hôtel  </t>
  </si>
  <si>
    <t>Achat boisons</t>
  </si>
  <si>
    <t xml:space="preserve">Achat boisons </t>
  </si>
  <si>
    <t xml:space="preserve">achat boisson </t>
  </si>
  <si>
    <t xml:space="preserve">taxi moto : </t>
  </si>
  <si>
    <t xml:space="preserve">taxi moto :  </t>
  </si>
  <si>
    <t xml:space="preserve">Taxi :  </t>
  </si>
  <si>
    <t xml:space="preserve">taxi : </t>
  </si>
  <si>
    <t>achat boisson</t>
  </si>
  <si>
    <t>Taxi d</t>
  </si>
  <si>
    <t xml:space="preserve">P29 - CONGO Ration </t>
  </si>
  <si>
    <t xml:space="preserve">Pirroque </t>
  </si>
  <si>
    <t>Achat billet :</t>
  </si>
  <si>
    <t>Traverser</t>
  </si>
  <si>
    <t>IT87- CONGO Ration</t>
  </si>
  <si>
    <t xml:space="preserve">location moto : </t>
  </si>
  <si>
    <t>Achat repas et boisons</t>
  </si>
  <si>
    <t xml:space="preserve">Taxi  moto </t>
  </si>
  <si>
    <t>Achat boissons et nourriture</t>
  </si>
  <si>
    <t>Traverse</t>
  </si>
  <si>
    <t>Taxi l</t>
  </si>
  <si>
    <t xml:space="preserve">P29 - CONGO Ration  </t>
  </si>
  <si>
    <t>Achat bille</t>
  </si>
  <si>
    <t>Taxi moto q</t>
  </si>
  <si>
    <t>Taxi  moto</t>
  </si>
  <si>
    <t>T73- CONGO Ration</t>
  </si>
  <si>
    <t xml:space="preserve">Achat boissons/ </t>
  </si>
  <si>
    <t>achat boisson et nourriture</t>
  </si>
  <si>
    <t xml:space="preserve">achat billet </t>
  </si>
  <si>
    <t xml:space="preserve">achat boissons : </t>
  </si>
  <si>
    <t>Taxi : )</t>
  </si>
  <si>
    <t>location moto :</t>
  </si>
  <si>
    <t>Achat  boissons</t>
  </si>
  <si>
    <t>achat billet :</t>
  </si>
  <si>
    <t xml:space="preserve">Traverser </t>
  </si>
  <si>
    <t>Taxi hotel</t>
  </si>
  <si>
    <t>taxi moto :</t>
  </si>
  <si>
    <t>Taxi : l</t>
  </si>
  <si>
    <t>achat boissons :</t>
  </si>
  <si>
    <t xml:space="preserve">Traverser rivière </t>
  </si>
  <si>
    <t xml:space="preserve">Achat repas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</si>
</sst>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1" formatCode="_-* #,##0_-;\-* #,##0_-;_-* &quot;-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.00_ ;[Red]\-#,##0.00\ "/>
    <numFmt numFmtId="167" formatCode="#,##0.0000"/>
    <numFmt numFmtId="168" formatCode="_-* #,##0\ _€_-;\-* #,##0\ _€_-;_-* &quot;-&quot;??\ _€_-;_-@_-"/>
    <numFmt numFmtId="169" formatCode="#,##0.00;[Red]#,##0.00"/>
    <numFmt numFmtId="170" formatCode="[$-409]mmmmm;@"/>
    <numFmt numFmtId="171" formatCode="[$-40C]d\-mmm;@"/>
    <numFmt numFmtId="172" formatCode="_-* #,##0\ _€_-;\-* #,##0\ _€_-;_-* &quot;-&quot;??\ _€_-;_-@"/>
    <numFmt numFmtId="173" formatCode="0.000"/>
    <numFmt numFmtId="174" formatCode="[$-40C]d\-mmm\-yy;@"/>
    <numFmt numFmtId="175" formatCode="#,##0_ ;[Red]\-#,##0\ "/>
    <numFmt numFmtId="176" formatCode="[$-40C]General"/>
    <numFmt numFmtId="177" formatCode="[$-409]d\-mmm\-yy;@"/>
    <numFmt numFmtId="178" formatCode="[$-40C]0"/>
    <numFmt numFmtId="179" formatCode="0.0000"/>
    <numFmt numFmtId="180" formatCode="dd/mm/yyyy;@"/>
  </numFmts>
  <fonts count="89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b/>
      <sz val="11"/>
      <name val="Calibri"/>
      <family val="2"/>
      <charset val="238"/>
    </font>
    <font>
      <sz val="10"/>
      <name val="Arial"/>
      <family val="2"/>
    </font>
    <font>
      <b/>
      <sz val="10"/>
      <name val="Calibri"/>
      <family val="2"/>
    </font>
    <font>
      <b/>
      <sz val="10"/>
      <name val="Calibri"/>
      <family val="2"/>
      <charset val="238"/>
    </font>
    <font>
      <sz val="1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charset val="238"/>
    </font>
    <font>
      <b/>
      <sz val="10"/>
      <color indexed="8"/>
      <name val="Calibri"/>
      <family val="2"/>
    </font>
    <font>
      <b/>
      <sz val="10"/>
      <color indexed="8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1"/>
      <name val="Aptos Narrow"/>
      <family val="2"/>
      <charset val="238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238"/>
    </font>
    <font>
      <b/>
      <sz val="10"/>
      <color theme="1"/>
      <name val="Calibri"/>
      <family val="2"/>
    </font>
    <font>
      <sz val="8"/>
      <color theme="1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10"/>
      <color rgb="FFFF0000"/>
      <name val="Calibri"/>
      <family val="2"/>
    </font>
    <font>
      <b/>
      <sz val="8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2"/>
      <color theme="1"/>
      <name val="Aptos Narrow"/>
      <family val="2"/>
      <charset val="238"/>
      <scheme val="minor"/>
    </font>
    <font>
      <sz val="10"/>
      <color theme="1"/>
      <name val="Aptos Narrow"/>
      <family val="2"/>
      <scheme val="minor"/>
    </font>
    <font>
      <sz val="8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b/>
      <sz val="10"/>
      <name val="Times New Roman"/>
      <family val="1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Times New Roman"/>
      <family val="1"/>
      <charset val="238"/>
    </font>
    <font>
      <sz val="9"/>
      <color theme="1"/>
      <name val="Arial Narrow"/>
      <family val="2"/>
    </font>
    <font>
      <sz val="9"/>
      <name val="Arial Narrow"/>
      <family val="2"/>
    </font>
    <font>
      <sz val="11"/>
      <color indexed="8"/>
      <name val="Calibri"/>
      <family val="2"/>
    </font>
    <font>
      <sz val="9"/>
      <color indexed="8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name val="Arial Narrow"/>
      <family val="2"/>
    </font>
    <font>
      <b/>
      <sz val="12"/>
      <name val="Arial Narrow"/>
      <family val="2"/>
    </font>
    <font>
      <sz val="11"/>
      <color rgb="FF000000"/>
      <name val="Calibri"/>
      <family val="2"/>
    </font>
    <font>
      <sz val="12"/>
      <color theme="1"/>
      <name val="Arial Narrow"/>
      <family val="2"/>
      <charset val="238"/>
    </font>
    <font>
      <sz val="12"/>
      <color theme="1"/>
      <name val="Arial Narrow"/>
      <family val="2"/>
    </font>
    <font>
      <sz val="11"/>
      <color theme="1"/>
      <name val="Times New Roman"/>
      <family val="1"/>
    </font>
    <font>
      <sz val="12"/>
      <color rgb="FF000000"/>
      <name val="Calibri"/>
      <family val="2"/>
    </font>
    <font>
      <b/>
      <sz val="12"/>
      <color theme="1"/>
      <name val="Arial Narrow"/>
      <family val="2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2"/>
      <color theme="1"/>
      <name val="Arial Narrow"/>
      <family val="2"/>
      <charset val="238"/>
    </font>
    <font>
      <sz val="10"/>
      <color rgb="FF000000"/>
      <name val="Times New Roman"/>
      <family val="1"/>
    </font>
    <font>
      <sz val="12"/>
      <color rgb="FF000000"/>
      <name val="Arial"/>
      <family val="2"/>
    </font>
    <font>
      <sz val="12"/>
      <color rgb="FF000000"/>
      <name val="Arial Narrow"/>
      <family val="2"/>
    </font>
    <font>
      <sz val="12"/>
      <color rgb="FF000000"/>
      <name val="Times New Roman"/>
      <family val="1"/>
    </font>
    <font>
      <b/>
      <sz val="12"/>
      <color theme="1"/>
      <name val="Aptos Narrow"/>
      <family val="2"/>
      <scheme val="minor"/>
    </font>
    <font>
      <sz val="12"/>
      <name val="Aptos Narrow"/>
      <family val="2"/>
      <scheme val="minor"/>
    </font>
    <font>
      <sz val="11"/>
      <color theme="1"/>
      <name val="Calibri"/>
      <family val="2"/>
      <charset val="238"/>
    </font>
    <font>
      <sz val="12"/>
      <color indexed="8"/>
      <name val="Arial Narrow"/>
      <family val="2"/>
    </font>
    <font>
      <sz val="12"/>
      <color theme="1"/>
      <name val="Aptos Narrow"/>
      <family val="2"/>
      <charset val="238"/>
      <scheme val="minor"/>
    </font>
    <font>
      <b/>
      <sz val="12"/>
      <name val="Calibri"/>
      <family val="2"/>
      <charset val="238"/>
    </font>
    <font>
      <sz val="14"/>
      <name val="Arial Narrow"/>
      <family val="2"/>
    </font>
    <font>
      <sz val="14"/>
      <color theme="1"/>
      <name val="Aptos Narrow"/>
      <family val="2"/>
      <charset val="238"/>
      <scheme val="minor"/>
    </font>
    <font>
      <sz val="12"/>
      <color theme="1"/>
      <name val="Arial"/>
      <family val="2"/>
    </font>
    <font>
      <sz val="12"/>
      <name val="Arial"/>
      <family val="2"/>
    </font>
    <font>
      <b/>
      <sz val="12"/>
      <name val="Aptos Narrow"/>
      <family val="2"/>
      <scheme val="minor"/>
    </font>
    <font>
      <i/>
      <sz val="12"/>
      <color indexed="10"/>
      <name val="Aptos Narrow"/>
      <family val="2"/>
      <scheme val="minor"/>
    </font>
    <font>
      <b/>
      <i/>
      <sz val="12"/>
      <name val="Aptos Narrow"/>
      <family val="2"/>
      <scheme val="minor"/>
    </font>
    <font>
      <i/>
      <sz val="12"/>
      <name val="Aptos Narrow"/>
      <family val="2"/>
      <scheme val="minor"/>
    </font>
    <font>
      <b/>
      <sz val="12"/>
      <color theme="3" tint="-0.499984740745262"/>
      <name val="Aptos Narrow"/>
      <family val="2"/>
      <scheme val="minor"/>
    </font>
    <font>
      <sz val="12"/>
      <color theme="3" tint="-0.499984740745262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2"/>
      <color theme="1"/>
      <name val="Arial"/>
      <family val="2"/>
    </font>
    <font>
      <sz val="12"/>
      <color theme="1"/>
      <name val="Aptos Narrow"/>
      <family val="2"/>
      <charset val="1"/>
      <scheme val="minor"/>
    </font>
    <font>
      <sz val="12"/>
      <color rgb="FF000000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0"/>
      <color theme="1"/>
      <name val="Times New Roman"/>
      <family val="1"/>
      <charset val="238"/>
    </font>
    <font>
      <sz val="12"/>
      <color rgb="FF000000"/>
      <name val="Times New Roman"/>
      <charset val="134"/>
    </font>
    <font>
      <sz val="12"/>
      <color rgb="FF000000"/>
      <name val="Arial"/>
      <charset val="134"/>
    </font>
    <font>
      <sz val="12"/>
      <name val="Calibri"/>
      <family val="2"/>
    </font>
    <font>
      <sz val="11"/>
      <color theme="1"/>
      <name val="Arial Narrow"/>
      <family val="2"/>
    </font>
    <font>
      <sz val="11"/>
      <name val="Calibri"/>
      <family val="2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Aptos Narrow"/>
      <scheme val="minor"/>
    </font>
    <font>
      <sz val="12"/>
      <color theme="1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EF4"/>
        <bgColor rgb="FFDBEEF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EF4"/>
      </patternFill>
    </fill>
    <fill>
      <patternFill patternType="solid">
        <fgColor theme="9" tint="0.59999389629810485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</borders>
  <cellStyleXfs count="12">
    <xf numFmtId="0" fontId="0" fillId="0" borderId="0"/>
    <xf numFmtId="43" fontId="5" fillId="0" borderId="0" applyFont="0" applyFill="0" applyBorder="0" applyAlignment="0" applyProtection="0"/>
    <xf numFmtId="0" fontId="8" fillId="0" borderId="0"/>
    <xf numFmtId="0" fontId="36" fillId="0" borderId="0"/>
    <xf numFmtId="177" fontId="44" fillId="0" borderId="0" applyBorder="0" applyProtection="0"/>
    <xf numFmtId="165" fontId="48" fillId="0" borderId="0">
      <protection locked="0"/>
    </xf>
    <xf numFmtId="165" fontId="4" fillId="0" borderId="0" applyFont="0" applyFill="0" applyBorder="0" applyAlignment="0" applyProtection="0"/>
    <xf numFmtId="0" fontId="8" fillId="0" borderId="0"/>
    <xf numFmtId="165" fontId="41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41" fontId="5" fillId="0" borderId="0" applyFont="0" applyFill="0" applyBorder="0" applyAlignment="0" applyProtection="0"/>
  </cellStyleXfs>
  <cellXfs count="515">
    <xf numFmtId="0" fontId="0" fillId="0" borderId="0" xfId="0"/>
    <xf numFmtId="0" fontId="7" fillId="2" borderId="1" xfId="0" applyFont="1" applyFill="1" applyBorder="1" applyAlignment="1">
      <alignment horizontal="left" vertical="center" wrapText="1"/>
    </xf>
    <xf numFmtId="167" fontId="7" fillId="2" borderId="1" xfId="0" applyNumberFormat="1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right" vertical="center" wrapText="1"/>
    </xf>
    <xf numFmtId="166" fontId="10" fillId="3" borderId="1" xfId="2" applyNumberFormat="1" applyFont="1" applyFill="1" applyBorder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166" fontId="11" fillId="0" borderId="1" xfId="1" applyNumberFormat="1" applyFont="1" applyBorder="1"/>
    <xf numFmtId="166" fontId="12" fillId="0" borderId="1" xfId="0" applyNumberFormat="1" applyFont="1" applyBorder="1" applyAlignment="1">
      <alignment vertical="top" wrapText="1"/>
    </xf>
    <xf numFmtId="166" fontId="13" fillId="0" borderId="1" xfId="1" applyNumberFormat="1" applyFont="1" applyBorder="1"/>
    <xf numFmtId="166" fontId="13" fillId="0" borderId="2" xfId="1" applyNumberFormat="1" applyFont="1" applyBorder="1"/>
    <xf numFmtId="166" fontId="10" fillId="3" borderId="1" xfId="1" applyNumberFormat="1" applyFont="1" applyFill="1" applyBorder="1"/>
    <xf numFmtId="166" fontId="9" fillId="0" borderId="1" xfId="1" applyNumberFormat="1" applyFont="1" applyBorder="1"/>
    <xf numFmtId="166" fontId="14" fillId="0" borderId="1" xfId="0" applyNumberFormat="1" applyFont="1" applyBorder="1" applyAlignment="1">
      <alignment vertical="top" wrapText="1"/>
    </xf>
    <xf numFmtId="14" fontId="15" fillId="4" borderId="1" xfId="0" applyNumberFormat="1" applyFont="1" applyFill="1" applyBorder="1"/>
    <xf numFmtId="166" fontId="16" fillId="4" borderId="1" xfId="1" applyNumberFormat="1" applyFont="1" applyFill="1" applyBorder="1"/>
    <xf numFmtId="166" fontId="17" fillId="4" borderId="1" xfId="0" applyNumberFormat="1" applyFont="1" applyFill="1" applyBorder="1"/>
    <xf numFmtId="166" fontId="10" fillId="4" borderId="1" xfId="1" applyNumberFormat="1" applyFont="1" applyFill="1" applyBorder="1"/>
    <xf numFmtId="14" fontId="12" fillId="0" borderId="1" xfId="0" applyNumberFormat="1" applyFont="1" applyBorder="1"/>
    <xf numFmtId="166" fontId="12" fillId="0" borderId="1" xfId="0" applyNumberFormat="1" applyFont="1" applyBorder="1"/>
    <xf numFmtId="166" fontId="11" fillId="0" borderId="1" xfId="1" applyNumberFormat="1" applyFont="1" applyBorder="1" applyAlignment="1">
      <alignment horizontal="center"/>
    </xf>
    <xf numFmtId="166" fontId="18" fillId="0" borderId="1" xfId="1" applyNumberFormat="1" applyFont="1" applyBorder="1"/>
    <xf numFmtId="166" fontId="12" fillId="0" borderId="2" xfId="0" applyNumberFormat="1" applyFont="1" applyBorder="1"/>
    <xf numFmtId="0" fontId="19" fillId="0" borderId="1" xfId="0" applyFont="1" applyBorder="1"/>
    <xf numFmtId="166" fontId="19" fillId="0" borderId="1" xfId="0" applyNumberFormat="1" applyFont="1" applyBorder="1"/>
    <xf numFmtId="166" fontId="19" fillId="0" borderId="1" xfId="1" applyNumberFormat="1" applyFont="1" applyBorder="1"/>
    <xf numFmtId="166" fontId="19" fillId="5" borderId="1" xfId="1" applyNumberFormat="1" applyFont="1" applyFill="1" applyBorder="1"/>
    <xf numFmtId="166" fontId="19" fillId="0" borderId="2" xfId="1" applyNumberFormat="1" applyFont="1" applyBorder="1"/>
    <xf numFmtId="0" fontId="21" fillId="0" borderId="3" xfId="0" applyFont="1" applyBorder="1"/>
    <xf numFmtId="166" fontId="22" fillId="0" borderId="3" xfId="0" applyNumberFormat="1" applyFont="1" applyBorder="1"/>
    <xf numFmtId="166" fontId="23" fillId="0" borderId="3" xfId="0" applyNumberFormat="1" applyFont="1" applyBorder="1"/>
    <xf numFmtId="166" fontId="22" fillId="5" borderId="3" xfId="0" applyNumberFormat="1" applyFont="1" applyFill="1" applyBorder="1"/>
    <xf numFmtId="166" fontId="22" fillId="0" borderId="5" xfId="0" applyNumberFormat="1" applyFont="1" applyBorder="1"/>
    <xf numFmtId="166" fontId="24" fillId="3" borderId="1" xfId="1" applyNumberFormat="1" applyFont="1" applyFill="1" applyBorder="1"/>
    <xf numFmtId="0" fontId="20" fillId="0" borderId="3" xfId="0" applyFont="1" applyBorder="1"/>
    <xf numFmtId="166" fontId="14" fillId="0" borderId="3" xfId="0" applyNumberFormat="1" applyFont="1" applyBorder="1"/>
    <xf numFmtId="166" fontId="14" fillId="0" borderId="5" xfId="0" applyNumberFormat="1" applyFont="1" applyBorder="1"/>
    <xf numFmtId="0" fontId="20" fillId="7" borderId="6" xfId="0" applyFont="1" applyFill="1" applyBorder="1"/>
    <xf numFmtId="166" fontId="14" fillId="7" borderId="7" xfId="0" applyNumberFormat="1" applyFont="1" applyFill="1" applyBorder="1"/>
    <xf numFmtId="166" fontId="14" fillId="7" borderId="8" xfId="0" applyNumberFormat="1" applyFont="1" applyFill="1" applyBorder="1"/>
    <xf numFmtId="166" fontId="10" fillId="7" borderId="1" xfId="1" applyNumberFormat="1" applyFont="1" applyFill="1" applyBorder="1"/>
    <xf numFmtId="0" fontId="12" fillId="0" borderId="9" xfId="0" applyFont="1" applyBorder="1"/>
    <xf numFmtId="166" fontId="12" fillId="0" borderId="9" xfId="0" applyNumberFormat="1" applyFont="1" applyBorder="1"/>
    <xf numFmtId="166" fontId="12" fillId="0" borderId="10" xfId="0" applyNumberFormat="1" applyFont="1" applyBorder="1"/>
    <xf numFmtId="0" fontId="20" fillId="0" borderId="1" xfId="0" applyFont="1" applyBorder="1"/>
    <xf numFmtId="166" fontId="20" fillId="0" borderId="1" xfId="0" applyNumberFormat="1" applyFont="1" applyBorder="1"/>
    <xf numFmtId="166" fontId="14" fillId="0" borderId="1" xfId="0" applyNumberFormat="1" applyFont="1" applyBorder="1"/>
    <xf numFmtId="166" fontId="20" fillId="0" borderId="1" xfId="1" applyNumberFormat="1" applyFont="1" applyBorder="1"/>
    <xf numFmtId="166" fontId="20" fillId="0" borderId="2" xfId="1" applyNumberFormat="1" applyFont="1" applyBorder="1"/>
    <xf numFmtId="0" fontId="12" fillId="0" borderId="0" xfId="0" applyFont="1"/>
    <xf numFmtId="166" fontId="12" fillId="0" borderId="0" xfId="0" applyNumberFormat="1" applyFont="1"/>
    <xf numFmtId="0" fontId="17" fillId="0" borderId="4" xfId="0" applyFont="1" applyBorder="1"/>
    <xf numFmtId="0" fontId="25" fillId="8" borderId="11" xfId="0" applyFont="1" applyFill="1" applyBorder="1"/>
    <xf numFmtId="166" fontId="25" fillId="8" borderId="12" xfId="0" applyNumberFormat="1" applyFont="1" applyFill="1" applyBorder="1"/>
    <xf numFmtId="166" fontId="25" fillId="8" borderId="13" xfId="0" applyNumberFormat="1" applyFont="1" applyFill="1" applyBorder="1"/>
    <xf numFmtId="166" fontId="25" fillId="8" borderId="14" xfId="0" applyNumberFormat="1" applyFont="1" applyFill="1" applyBorder="1"/>
    <xf numFmtId="0" fontId="26" fillId="3" borderId="15" xfId="0" applyFont="1" applyFill="1" applyBorder="1"/>
    <xf numFmtId="0" fontId="26" fillId="8" borderId="16" xfId="0" applyFont="1" applyFill="1" applyBorder="1" applyAlignment="1">
      <alignment wrapText="1"/>
    </xf>
    <xf numFmtId="166" fontId="25" fillId="8" borderId="17" xfId="0" applyNumberFormat="1" applyFont="1" applyFill="1" applyBorder="1" applyAlignment="1">
      <alignment wrapText="1"/>
    </xf>
    <xf numFmtId="166" fontId="25" fillId="8" borderId="1" xfId="0" applyNumberFormat="1" applyFont="1" applyFill="1" applyBorder="1" applyAlignment="1">
      <alignment wrapText="1"/>
    </xf>
    <xf numFmtId="0" fontId="26" fillId="3" borderId="18" xfId="0" applyFont="1" applyFill="1" applyBorder="1" applyAlignment="1">
      <alignment wrapText="1"/>
    </xf>
    <xf numFmtId="0" fontId="25" fillId="9" borderId="19" xfId="0" applyFont="1" applyFill="1" applyBorder="1" applyAlignment="1">
      <alignment wrapText="1"/>
    </xf>
    <xf numFmtId="166" fontId="25" fillId="9" borderId="20" xfId="0" applyNumberFormat="1" applyFont="1" applyFill="1" applyBorder="1"/>
    <xf numFmtId="166" fontId="25" fillId="9" borderId="21" xfId="0" applyNumberFormat="1" applyFont="1" applyFill="1" applyBorder="1"/>
    <xf numFmtId="4" fontId="27" fillId="9" borderId="22" xfId="0" applyNumberFormat="1" applyFont="1" applyFill="1" applyBorder="1" applyAlignment="1">
      <alignment horizontal="center" vertical="center"/>
    </xf>
    <xf numFmtId="166" fontId="26" fillId="3" borderId="23" xfId="0" applyNumberFormat="1" applyFont="1" applyFill="1" applyBorder="1"/>
    <xf numFmtId="14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14" fontId="0" fillId="0" borderId="0" xfId="0" applyNumberFormat="1"/>
    <xf numFmtId="3" fontId="7" fillId="2" borderId="1" xfId="0" applyNumberFormat="1" applyFont="1" applyFill="1" applyBorder="1" applyAlignment="1">
      <alignment vertical="center" wrapText="1"/>
    </xf>
    <xf numFmtId="3" fontId="0" fillId="0" borderId="0" xfId="0" applyNumberFormat="1"/>
    <xf numFmtId="14" fontId="7" fillId="10" borderId="1" xfId="0" applyNumberFormat="1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left"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0" fillId="0" borderId="1" xfId="0" applyBorder="1"/>
    <xf numFmtId="166" fontId="14" fillId="2" borderId="1" xfId="0" applyNumberFormat="1" applyFont="1" applyFill="1" applyBorder="1" applyAlignment="1">
      <alignment vertical="top" wrapText="1"/>
    </xf>
    <xf numFmtId="166" fontId="9" fillId="2" borderId="1" xfId="1" applyNumberFormat="1" applyFont="1" applyFill="1" applyBorder="1"/>
    <xf numFmtId="14" fontId="9" fillId="2" borderId="1" xfId="2" applyNumberFormat="1" applyFont="1" applyFill="1" applyBorder="1" applyAlignment="1">
      <alignment horizontal="center" vertical="center"/>
    </xf>
    <xf numFmtId="166" fontId="9" fillId="2" borderId="1" xfId="2" applyNumberFormat="1" applyFont="1" applyFill="1" applyBorder="1" applyAlignment="1">
      <alignment horizontal="center" vertical="center" wrapText="1"/>
    </xf>
    <xf numFmtId="166" fontId="9" fillId="2" borderId="1" xfId="2" applyNumberFormat="1" applyFont="1" applyFill="1" applyBorder="1" applyAlignment="1">
      <alignment horizontal="center" vertical="center"/>
    </xf>
    <xf numFmtId="166" fontId="9" fillId="2" borderId="2" xfId="2" applyNumberFormat="1" applyFont="1" applyFill="1" applyBorder="1" applyAlignment="1">
      <alignment horizontal="center" vertical="center" wrapText="1"/>
    </xf>
    <xf numFmtId="0" fontId="20" fillId="4" borderId="1" xfId="0" applyFont="1" applyFill="1" applyBorder="1"/>
    <xf numFmtId="166" fontId="14" fillId="4" borderId="1" xfId="0" applyNumberFormat="1" applyFont="1" applyFill="1" applyBorder="1"/>
    <xf numFmtId="166" fontId="14" fillId="4" borderId="2" xfId="0" applyNumberFormat="1" applyFont="1" applyFill="1" applyBorder="1"/>
    <xf numFmtId="3" fontId="7" fillId="10" borderId="1" xfId="0" applyNumberFormat="1" applyFont="1" applyFill="1" applyBorder="1" applyAlignment="1">
      <alignment vertical="center" wrapText="1"/>
    </xf>
    <xf numFmtId="3" fontId="7" fillId="10" borderId="1" xfId="0" applyNumberFormat="1" applyFont="1" applyFill="1" applyBorder="1" applyAlignment="1">
      <alignment horizontal="right" vertical="center" wrapText="1"/>
    </xf>
    <xf numFmtId="3" fontId="7" fillId="4" borderId="1" xfId="0" applyNumberFormat="1" applyFont="1" applyFill="1" applyBorder="1" applyAlignment="1">
      <alignment vertical="center" wrapText="1"/>
    </xf>
    <xf numFmtId="3" fontId="7" fillId="4" borderId="1" xfId="0" applyNumberFormat="1" applyFont="1" applyFill="1" applyBorder="1" applyAlignment="1">
      <alignment horizontal="right" vertical="center" wrapText="1"/>
    </xf>
    <xf numFmtId="0" fontId="29" fillId="0" borderId="0" xfId="0" applyFont="1"/>
    <xf numFmtId="0" fontId="29" fillId="0" borderId="1" xfId="0" applyFont="1" applyBorder="1"/>
    <xf numFmtId="4" fontId="0" fillId="0" borderId="1" xfId="0" applyNumberFormat="1" applyBorder="1"/>
    <xf numFmtId="0" fontId="6" fillId="0" borderId="1" xfId="0" applyFont="1" applyBorder="1"/>
    <xf numFmtId="4" fontId="29" fillId="0" borderId="1" xfId="0" applyNumberFormat="1" applyFont="1" applyBorder="1"/>
    <xf numFmtId="3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4" borderId="1" xfId="0" applyFill="1" applyBorder="1"/>
    <xf numFmtId="0" fontId="0" fillId="10" borderId="1" xfId="0" applyFill="1" applyBorder="1"/>
    <xf numFmtId="170" fontId="30" fillId="12" borderId="1" xfId="0" applyNumberFormat="1" applyFont="1" applyFill="1" applyBorder="1" applyAlignment="1">
      <alignment horizontal="center" vertical="center" wrapText="1"/>
    </xf>
    <xf numFmtId="166" fontId="30" fillId="12" borderId="1" xfId="0" applyNumberFormat="1" applyFont="1" applyFill="1" applyBorder="1" applyAlignment="1">
      <alignment horizontal="center" vertical="center" wrapText="1"/>
    </xf>
    <xf numFmtId="49" fontId="31" fillId="13" borderId="1" xfId="0" applyNumberFormat="1" applyFont="1" applyFill="1" applyBorder="1" applyAlignment="1">
      <alignment vertical="top" wrapText="1"/>
    </xf>
    <xf numFmtId="166" fontId="31" fillId="13" borderId="1" xfId="0" applyNumberFormat="1" applyFont="1" applyFill="1" applyBorder="1" applyAlignment="1">
      <alignment vertical="top" wrapText="1"/>
    </xf>
    <xf numFmtId="166" fontId="31" fillId="13" borderId="1" xfId="0" applyNumberFormat="1" applyFont="1" applyFill="1" applyBorder="1" applyAlignment="1">
      <alignment vertical="center" wrapText="1"/>
    </xf>
    <xf numFmtId="0" fontId="32" fillId="0" borderId="1" xfId="0" applyFont="1" applyBorder="1" applyAlignment="1">
      <alignment vertical="top" wrapText="1"/>
    </xf>
    <xf numFmtId="166" fontId="32" fillId="0" borderId="1" xfId="0" applyNumberFormat="1" applyFont="1" applyBorder="1" applyAlignment="1">
      <alignment vertical="top" wrapText="1"/>
    </xf>
    <xf numFmtId="166" fontId="32" fillId="0" borderId="1" xfId="1" applyNumberFormat="1" applyFont="1" applyBorder="1" applyAlignment="1">
      <alignment vertical="top" wrapText="1"/>
    </xf>
    <xf numFmtId="17" fontId="32" fillId="0" borderId="1" xfId="0" applyNumberFormat="1" applyFont="1" applyBorder="1" applyAlignment="1">
      <alignment vertical="top" wrapText="1"/>
    </xf>
    <xf numFmtId="166" fontId="31" fillId="0" borderId="1" xfId="0" applyNumberFormat="1" applyFont="1" applyBorder="1" applyAlignment="1">
      <alignment vertical="top" wrapText="1"/>
    </xf>
    <xf numFmtId="166" fontId="31" fillId="0" borderId="1" xfId="0" applyNumberFormat="1" applyFont="1" applyBorder="1" applyAlignment="1">
      <alignment vertical="center" wrapText="1"/>
    </xf>
    <xf numFmtId="166" fontId="31" fillId="0" borderId="1" xfId="1" applyNumberFormat="1" applyFont="1" applyFill="1" applyBorder="1" applyAlignment="1">
      <alignment vertical="top" wrapText="1"/>
    </xf>
    <xf numFmtId="166" fontId="33" fillId="0" borderId="1" xfId="0" applyNumberFormat="1" applyFont="1" applyBorder="1" applyAlignment="1">
      <alignment vertical="center" wrapText="1"/>
    </xf>
    <xf numFmtId="49" fontId="33" fillId="0" borderId="1" xfId="0" applyNumberFormat="1" applyFont="1" applyBorder="1" applyAlignment="1">
      <alignment vertical="top" wrapText="1"/>
    </xf>
    <xf numFmtId="0" fontId="33" fillId="0" borderId="1" xfId="0" applyFont="1" applyBorder="1" applyAlignment="1">
      <alignment vertical="top" wrapText="1"/>
    </xf>
    <xf numFmtId="0" fontId="32" fillId="0" borderId="3" xfId="0" applyFont="1" applyBorder="1" applyAlignment="1">
      <alignment vertical="top" wrapText="1"/>
    </xf>
    <xf numFmtId="166" fontId="32" fillId="0" borderId="3" xfId="0" applyNumberFormat="1" applyFont="1" applyBorder="1" applyAlignment="1">
      <alignment vertical="top" wrapText="1"/>
    </xf>
    <xf numFmtId="166" fontId="32" fillId="0" borderId="3" xfId="1" applyNumberFormat="1" applyFont="1" applyBorder="1" applyAlignment="1">
      <alignment vertical="top" wrapText="1"/>
    </xf>
    <xf numFmtId="0" fontId="34" fillId="0" borderId="1" xfId="0" applyFont="1" applyBorder="1"/>
    <xf numFmtId="0" fontId="35" fillId="0" borderId="1" xfId="0" applyFont="1" applyBorder="1"/>
    <xf numFmtId="168" fontId="34" fillId="0" borderId="1" xfId="1" applyNumberFormat="1" applyFont="1" applyBorder="1"/>
    <xf numFmtId="168" fontId="35" fillId="0" borderId="1" xfId="1" applyNumberFormat="1" applyFont="1" applyFill="1" applyBorder="1"/>
    <xf numFmtId="0" fontId="0" fillId="0" borderId="3" xfId="0" applyBorder="1"/>
    <xf numFmtId="166" fontId="9" fillId="0" borderId="4" xfId="1" applyNumberFormat="1" applyFont="1" applyBorder="1"/>
    <xf numFmtId="172" fontId="39" fillId="5" borderId="1" xfId="0" applyNumberFormat="1" applyFont="1" applyFill="1" applyBorder="1"/>
    <xf numFmtId="0" fontId="0" fillId="5" borderId="1" xfId="0" applyFill="1" applyBorder="1"/>
    <xf numFmtId="14" fontId="29" fillId="5" borderId="1" xfId="0" applyNumberFormat="1" applyFont="1" applyFill="1" applyBorder="1"/>
    <xf numFmtId="0" fontId="29" fillId="5" borderId="1" xfId="0" applyFont="1" applyFill="1" applyBorder="1"/>
    <xf numFmtId="0" fontId="0" fillId="0" borderId="1" xfId="0" applyBorder="1" applyAlignment="1">
      <alignment vertical="center"/>
    </xf>
    <xf numFmtId="0" fontId="41" fillId="0" borderId="1" xfId="0" applyFont="1" applyBorder="1" applyAlignment="1">
      <alignment vertical="center"/>
    </xf>
    <xf numFmtId="0" fontId="0" fillId="3" borderId="1" xfId="0" applyFill="1" applyBorder="1" applyAlignment="1">
      <alignment vertical="center"/>
    </xf>
    <xf numFmtId="4" fontId="11" fillId="3" borderId="1" xfId="0" applyNumberFormat="1" applyFont="1" applyFill="1" applyBorder="1" applyAlignment="1">
      <alignment horizontal="center" vertical="center"/>
    </xf>
    <xf numFmtId="174" fontId="42" fillId="0" borderId="0" xfId="0" applyNumberFormat="1" applyFont="1"/>
    <xf numFmtId="0" fontId="42" fillId="0" borderId="0" xfId="0" applyFont="1"/>
    <xf numFmtId="0" fontId="43" fillId="0" borderId="0" xfId="0" applyFont="1"/>
    <xf numFmtId="3" fontId="42" fillId="0" borderId="0" xfId="0" applyNumberFormat="1" applyFont="1"/>
    <xf numFmtId="175" fontId="43" fillId="0" borderId="0" xfId="0" applyNumberFormat="1" applyFont="1"/>
    <xf numFmtId="174" fontId="43" fillId="14" borderId="32" xfId="3" applyNumberFormat="1" applyFont="1" applyFill="1" applyBorder="1"/>
    <xf numFmtId="176" fontId="43" fillId="14" borderId="32" xfId="3" applyNumberFormat="1" applyFont="1" applyFill="1" applyBorder="1"/>
    <xf numFmtId="3" fontId="43" fillId="14" borderId="32" xfId="4" applyNumberFormat="1" applyFont="1" applyFill="1" applyBorder="1"/>
    <xf numFmtId="176" fontId="42" fillId="0" borderId="0" xfId="3" applyNumberFormat="1" applyFont="1"/>
    <xf numFmtId="174" fontId="46" fillId="5" borderId="1" xfId="3" applyNumberFormat="1" applyFont="1" applyFill="1" applyBorder="1" applyAlignment="1">
      <alignment vertical="top" wrapText="1"/>
    </xf>
    <xf numFmtId="0" fontId="0" fillId="0" borderId="0" xfId="0" applyAlignment="1">
      <alignment horizontal="left"/>
    </xf>
    <xf numFmtId="164" fontId="0" fillId="0" borderId="0" xfId="0" applyNumberFormat="1"/>
    <xf numFmtId="168" fontId="6" fillId="5" borderId="0" xfId="1" applyNumberFormat="1" applyFont="1" applyFill="1" applyBorder="1"/>
    <xf numFmtId="0" fontId="50" fillId="0" borderId="0" xfId="0" applyFont="1"/>
    <xf numFmtId="3" fontId="50" fillId="0" borderId="0" xfId="0" applyNumberFormat="1" applyFont="1"/>
    <xf numFmtId="0" fontId="50" fillId="0" borderId="0" xfId="0" applyFont="1" applyAlignment="1">
      <alignment horizontal="center"/>
    </xf>
    <xf numFmtId="0" fontId="50" fillId="0" borderId="0" xfId="0" applyFont="1" applyAlignment="1">
      <alignment horizontal="right"/>
    </xf>
    <xf numFmtId="166" fontId="11" fillId="3" borderId="1" xfId="1" applyNumberFormat="1" applyFont="1" applyFill="1" applyBorder="1"/>
    <xf numFmtId="166" fontId="12" fillId="3" borderId="1" xfId="0" applyNumberFormat="1" applyFont="1" applyFill="1" applyBorder="1" applyAlignment="1">
      <alignment vertical="top" wrapText="1"/>
    </xf>
    <xf numFmtId="166" fontId="13" fillId="3" borderId="1" xfId="1" applyNumberFormat="1" applyFont="1" applyFill="1" applyBorder="1"/>
    <xf numFmtId="166" fontId="13" fillId="3" borderId="2" xfId="1" applyNumberFormat="1" applyFont="1" applyFill="1" applyBorder="1"/>
    <xf numFmtId="175" fontId="0" fillId="0" borderId="0" xfId="0" applyNumberFormat="1"/>
    <xf numFmtId="168" fontId="35" fillId="0" borderId="0" xfId="1" applyNumberFormat="1" applyFont="1" applyFill="1" applyBorder="1"/>
    <xf numFmtId="168" fontId="0" fillId="0" borderId="0" xfId="0" applyNumberFormat="1"/>
    <xf numFmtId="166" fontId="0" fillId="0" borderId="0" xfId="0" applyNumberFormat="1"/>
    <xf numFmtId="179" fontId="30" fillId="12" borderId="4" xfId="0" applyNumberFormat="1" applyFont="1" applyFill="1" applyBorder="1" applyAlignment="1">
      <alignment horizontal="center" vertical="center" wrapText="1"/>
    </xf>
    <xf numFmtId="179" fontId="0" fillId="0" borderId="0" xfId="0" applyNumberFormat="1"/>
    <xf numFmtId="168" fontId="39" fillId="5" borderId="1" xfId="1" applyNumberFormat="1" applyFont="1" applyFill="1" applyBorder="1"/>
    <xf numFmtId="0" fontId="38" fillId="5" borderId="1" xfId="0" applyFont="1" applyFill="1" applyBorder="1" applyAlignment="1">
      <alignment horizontal="left"/>
    </xf>
    <xf numFmtId="173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174" fontId="45" fillId="5" borderId="1" xfId="3" applyNumberFormat="1" applyFont="1" applyFill="1" applyBorder="1" applyAlignment="1">
      <alignment vertical="top" wrapText="1"/>
    </xf>
    <xf numFmtId="174" fontId="45" fillId="5" borderId="2" xfId="3" applyNumberFormat="1" applyFont="1" applyFill="1" applyBorder="1" applyAlignment="1">
      <alignment vertical="top" wrapText="1"/>
    </xf>
    <xf numFmtId="0" fontId="46" fillId="5" borderId="1" xfId="0" applyFont="1" applyFill="1" applyBorder="1" applyAlignment="1">
      <alignment vertical="center"/>
    </xf>
    <xf numFmtId="3" fontId="46" fillId="5" borderId="1" xfId="0" applyNumberFormat="1" applyFont="1" applyFill="1" applyBorder="1" applyAlignment="1">
      <alignment vertical="center"/>
    </xf>
    <xf numFmtId="0" fontId="46" fillId="5" borderId="0" xfId="0" applyFont="1" applyFill="1" applyAlignment="1">
      <alignment vertical="center"/>
    </xf>
    <xf numFmtId="174" fontId="46" fillId="5" borderId="0" xfId="3" applyNumberFormat="1" applyFont="1" applyFill="1" applyAlignment="1">
      <alignment vertical="top" wrapText="1"/>
    </xf>
    <xf numFmtId="175" fontId="49" fillId="5" borderId="34" xfId="4" applyNumberFormat="1" applyFont="1" applyFill="1" applyBorder="1" applyAlignment="1">
      <alignment horizontal="center" vertical="center"/>
    </xf>
    <xf numFmtId="0" fontId="46" fillId="5" borderId="1" xfId="0" applyFont="1" applyFill="1" applyBorder="1"/>
    <xf numFmtId="14" fontId="29" fillId="5" borderId="0" xfId="0" applyNumberFormat="1" applyFont="1" applyFill="1"/>
    <xf numFmtId="0" fontId="41" fillId="5" borderId="1" xfId="0" applyFont="1" applyFill="1" applyBorder="1"/>
    <xf numFmtId="3" fontId="46" fillId="5" borderId="1" xfId="0" applyNumberFormat="1" applyFont="1" applyFill="1" applyBorder="1"/>
    <xf numFmtId="175" fontId="49" fillId="5" borderId="1" xfId="4" applyNumberFormat="1" applyFont="1" applyFill="1" applyBorder="1"/>
    <xf numFmtId="178" fontId="46" fillId="5" borderId="1" xfId="3" applyNumberFormat="1" applyFont="1" applyFill="1" applyBorder="1" applyAlignment="1">
      <alignment vertical="top" wrapText="1"/>
    </xf>
    <xf numFmtId="0" fontId="46" fillId="5" borderId="0" xfId="0" applyFont="1" applyFill="1"/>
    <xf numFmtId="0" fontId="5" fillId="5" borderId="1" xfId="0" applyFont="1" applyFill="1" applyBorder="1"/>
    <xf numFmtId="174" fontId="46" fillId="5" borderId="0" xfId="0" applyNumberFormat="1" applyFont="1" applyFill="1"/>
    <xf numFmtId="0" fontId="49" fillId="5" borderId="0" xfId="0" applyFont="1" applyFill="1"/>
    <xf numFmtId="3" fontId="46" fillId="5" borderId="0" xfId="0" applyNumberFormat="1" applyFont="1" applyFill="1"/>
    <xf numFmtId="175" fontId="49" fillId="5" borderId="0" xfId="0" applyNumberFormat="1" applyFont="1" applyFill="1"/>
    <xf numFmtId="174" fontId="49" fillId="16" borderId="32" xfId="3" applyNumberFormat="1" applyFont="1" applyFill="1" applyBorder="1"/>
    <xf numFmtId="176" fontId="49" fillId="16" borderId="32" xfId="3" applyNumberFormat="1" applyFont="1" applyFill="1" applyBorder="1"/>
    <xf numFmtId="3" fontId="49" fillId="16" borderId="32" xfId="4" applyNumberFormat="1" applyFont="1" applyFill="1" applyBorder="1"/>
    <xf numFmtId="175" fontId="49" fillId="16" borderId="32" xfId="4" applyNumberFormat="1" applyFont="1" applyFill="1" applyBorder="1"/>
    <xf numFmtId="176" fontId="46" fillId="5" borderId="0" xfId="3" applyNumberFormat="1" applyFont="1" applyFill="1"/>
    <xf numFmtId="174" fontId="45" fillId="5" borderId="0" xfId="0" applyNumberFormat="1" applyFont="1" applyFill="1"/>
    <xf numFmtId="3" fontId="49" fillId="5" borderId="0" xfId="0" applyNumberFormat="1" applyFont="1" applyFill="1"/>
    <xf numFmtId="174" fontId="52" fillId="16" borderId="32" xfId="3" applyNumberFormat="1" applyFont="1" applyFill="1" applyBorder="1"/>
    <xf numFmtId="175" fontId="49" fillId="16" borderId="33" xfId="4" applyNumberFormat="1" applyFont="1" applyFill="1" applyBorder="1"/>
    <xf numFmtId="168" fontId="5" fillId="5" borderId="1" xfId="0" applyNumberFormat="1" applyFont="1" applyFill="1" applyBorder="1"/>
    <xf numFmtId="168" fontId="5" fillId="5" borderId="1" xfId="1" applyNumberFormat="1" applyFont="1" applyFill="1" applyBorder="1"/>
    <xf numFmtId="0" fontId="2" fillId="5" borderId="1" xfId="0" applyFont="1" applyFill="1" applyBorder="1"/>
    <xf numFmtId="175" fontId="46" fillId="5" borderId="1" xfId="5" applyNumberFormat="1" applyFont="1" applyFill="1" applyBorder="1" applyProtection="1"/>
    <xf numFmtId="0" fontId="5" fillId="5" borderId="0" xfId="0" applyFont="1" applyFill="1"/>
    <xf numFmtId="175" fontId="49" fillId="5" borderId="0" xfId="4" applyNumberFormat="1" applyFont="1" applyFill="1" applyBorder="1"/>
    <xf numFmtId="175" fontId="5" fillId="5" borderId="1" xfId="1" applyNumberFormat="1" applyFont="1" applyFill="1" applyBorder="1"/>
    <xf numFmtId="175" fontId="49" fillId="5" borderId="0" xfId="4" applyNumberFormat="1" applyFont="1" applyFill="1" applyBorder="1" applyAlignment="1">
      <alignment horizontal="center" vertical="center"/>
    </xf>
    <xf numFmtId="174" fontId="5" fillId="5" borderId="0" xfId="0" applyNumberFormat="1" applyFont="1" applyFill="1"/>
    <xf numFmtId="3" fontId="5" fillId="5" borderId="0" xfId="0" applyNumberFormat="1" applyFont="1" applyFill="1"/>
    <xf numFmtId="175" fontId="49" fillId="5" borderId="1" xfId="4" applyNumberFormat="1" applyFont="1" applyFill="1" applyBorder="1" applyAlignment="1">
      <alignment horizontal="center" vertical="center"/>
    </xf>
    <xf numFmtId="168" fontId="5" fillId="5" borderId="0" xfId="1" applyNumberFormat="1" applyFont="1" applyFill="1" applyBorder="1"/>
    <xf numFmtId="168" fontId="29" fillId="5" borderId="0" xfId="1" applyNumberFormat="1" applyFont="1" applyFill="1" applyBorder="1"/>
    <xf numFmtId="166" fontId="33" fillId="0" borderId="1" xfId="1" applyNumberFormat="1" applyFont="1" applyFill="1" applyBorder="1" applyAlignment="1">
      <alignment vertical="top" wrapText="1"/>
    </xf>
    <xf numFmtId="166" fontId="33" fillId="0" borderId="1" xfId="0" applyNumberFormat="1" applyFont="1" applyBorder="1" applyAlignment="1">
      <alignment vertical="top" wrapText="1"/>
    </xf>
    <xf numFmtId="175" fontId="43" fillId="14" borderId="32" xfId="4" applyNumberFormat="1" applyFont="1" applyFill="1" applyBorder="1"/>
    <xf numFmtId="168" fontId="40" fillId="5" borderId="1" xfId="1" applyNumberFormat="1" applyFont="1" applyFill="1" applyBorder="1"/>
    <xf numFmtId="168" fontId="40" fillId="5" borderId="9" xfId="1" applyNumberFormat="1" applyFont="1" applyFill="1" applyBorder="1"/>
    <xf numFmtId="168" fontId="0" fillId="0" borderId="1" xfId="1" applyNumberFormat="1" applyFont="1" applyFill="1" applyBorder="1"/>
    <xf numFmtId="168" fontId="40" fillId="0" borderId="1" xfId="1" applyNumberFormat="1" applyFont="1" applyFill="1" applyBorder="1"/>
    <xf numFmtId="0" fontId="41" fillId="0" borderId="1" xfId="0" applyFont="1" applyBorder="1"/>
    <xf numFmtId="14" fontId="0" fillId="0" borderId="1" xfId="0" applyNumberFormat="1" applyBorder="1"/>
    <xf numFmtId="168" fontId="51" fillId="5" borderId="1" xfId="1" applyNumberFormat="1" applyFont="1" applyFill="1" applyBorder="1"/>
    <xf numFmtId="168" fontId="29" fillId="5" borderId="1" xfId="1" applyNumberFormat="1" applyFont="1" applyFill="1" applyBorder="1"/>
    <xf numFmtId="0" fontId="42" fillId="0" borderId="1" xfId="0" applyFont="1" applyBorder="1" applyAlignment="1">
      <alignment horizontal="left" vertical="center"/>
    </xf>
    <xf numFmtId="0" fontId="46" fillId="5" borderId="2" xfId="0" applyFont="1" applyFill="1" applyBorder="1"/>
    <xf numFmtId="4" fontId="11" fillId="5" borderId="1" xfId="0" applyNumberFormat="1" applyFont="1" applyFill="1" applyBorder="1" applyAlignment="1">
      <alignment horizontal="center" vertical="center"/>
    </xf>
    <xf numFmtId="166" fontId="11" fillId="5" borderId="1" xfId="1" applyNumberFormat="1" applyFont="1" applyFill="1" applyBorder="1"/>
    <xf numFmtId="166" fontId="12" fillId="5" borderId="1" xfId="0" applyNumberFormat="1" applyFont="1" applyFill="1" applyBorder="1" applyAlignment="1">
      <alignment vertical="top" wrapText="1"/>
    </xf>
    <xf numFmtId="166" fontId="13" fillId="5" borderId="1" xfId="1" applyNumberFormat="1" applyFont="1" applyFill="1" applyBorder="1"/>
    <xf numFmtId="166" fontId="13" fillId="5" borderId="2" xfId="1" applyNumberFormat="1" applyFont="1" applyFill="1" applyBorder="1"/>
    <xf numFmtId="0" fontId="0" fillId="5" borderId="1" xfId="0" applyFill="1" applyBorder="1" applyAlignment="1">
      <alignment vertical="center"/>
    </xf>
    <xf numFmtId="166" fontId="9" fillId="5" borderId="1" xfId="1" applyNumberFormat="1" applyFont="1" applyFill="1" applyBorder="1"/>
    <xf numFmtId="166" fontId="14" fillId="5" borderId="1" xfId="0" applyNumberFormat="1" applyFont="1" applyFill="1" applyBorder="1" applyAlignment="1">
      <alignment vertical="top" wrapText="1"/>
    </xf>
    <xf numFmtId="175" fontId="47" fillId="15" borderId="0" xfId="4" applyNumberFormat="1" applyFont="1" applyFill="1" applyBorder="1" applyAlignment="1">
      <alignment horizontal="right" vertical="center"/>
    </xf>
    <xf numFmtId="178" fontId="53" fillId="0" borderId="0" xfId="3" applyNumberFormat="1" applyFont="1" applyAlignment="1">
      <alignment vertical="top" wrapText="1"/>
    </xf>
    <xf numFmtId="3" fontId="46" fillId="5" borderId="9" xfId="0" applyNumberFormat="1" applyFont="1" applyFill="1" applyBorder="1"/>
    <xf numFmtId="180" fontId="7" fillId="2" borderId="1" xfId="0" applyNumberFormat="1" applyFont="1" applyFill="1" applyBorder="1" applyAlignment="1">
      <alignment horizontal="center" vertical="center" wrapText="1"/>
    </xf>
    <xf numFmtId="0" fontId="59" fillId="0" borderId="0" xfId="0" applyFont="1"/>
    <xf numFmtId="0" fontId="32" fillId="13" borderId="30" xfId="0" applyFont="1" applyFill="1" applyBorder="1" applyAlignment="1">
      <alignment vertical="top" wrapText="1"/>
    </xf>
    <xf numFmtId="0" fontId="54" fillId="5" borderId="1" xfId="0" applyFont="1" applyFill="1" applyBorder="1"/>
    <xf numFmtId="0" fontId="55" fillId="5" borderId="1" xfId="3" applyFont="1" applyFill="1" applyBorder="1"/>
    <xf numFmtId="0" fontId="56" fillId="5" borderId="1" xfId="3" applyFont="1" applyFill="1" applyBorder="1"/>
    <xf numFmtId="175" fontId="43" fillId="5" borderId="1" xfId="4" applyNumberFormat="1" applyFont="1" applyFill="1" applyBorder="1"/>
    <xf numFmtId="175" fontId="43" fillId="5" borderId="0" xfId="4" applyNumberFormat="1" applyFont="1" applyFill="1" applyBorder="1"/>
    <xf numFmtId="3" fontId="49" fillId="16" borderId="37" xfId="4" applyNumberFormat="1" applyFont="1" applyFill="1" applyBorder="1"/>
    <xf numFmtId="175" fontId="49" fillId="16" borderId="38" xfId="4" applyNumberFormat="1" applyFont="1" applyFill="1" applyBorder="1"/>
    <xf numFmtId="3" fontId="49" fillId="16" borderId="1" xfId="4" applyNumberFormat="1" applyFont="1" applyFill="1" applyBorder="1"/>
    <xf numFmtId="173" fontId="46" fillId="5" borderId="1" xfId="0" applyNumberFormat="1" applyFont="1" applyFill="1" applyBorder="1" applyAlignment="1">
      <alignment vertical="center"/>
    </xf>
    <xf numFmtId="171" fontId="37" fillId="0" borderId="1" xfId="3" applyNumberFormat="1" applyFont="1" applyBorder="1"/>
    <xf numFmtId="3" fontId="0" fillId="3" borderId="1" xfId="0" applyNumberFormat="1" applyFill="1" applyBorder="1"/>
    <xf numFmtId="0" fontId="46" fillId="0" borderId="1" xfId="0" applyFont="1" applyBorder="1"/>
    <xf numFmtId="0" fontId="42" fillId="5" borderId="1" xfId="0" applyFont="1" applyFill="1" applyBorder="1" applyAlignment="1">
      <alignment horizontal="left"/>
    </xf>
    <xf numFmtId="0" fontId="61" fillId="0" borderId="0" xfId="0" applyFont="1"/>
    <xf numFmtId="168" fontId="42" fillId="5" borderId="1" xfId="1" applyNumberFormat="1" applyFont="1" applyFill="1" applyBorder="1"/>
    <xf numFmtId="0" fontId="0" fillId="5" borderId="0" xfId="0" applyFill="1"/>
    <xf numFmtId="0" fontId="61" fillId="5" borderId="1" xfId="0" applyFont="1" applyFill="1" applyBorder="1"/>
    <xf numFmtId="172" fontId="46" fillId="5" borderId="1" xfId="0" applyNumberFormat="1" applyFont="1" applyFill="1" applyBorder="1"/>
    <xf numFmtId="172" fontId="42" fillId="5" borderId="1" xfId="0" applyNumberFormat="1" applyFont="1" applyFill="1" applyBorder="1"/>
    <xf numFmtId="14" fontId="43" fillId="2" borderId="3" xfId="0" applyNumberFormat="1" applyFont="1" applyFill="1" applyBorder="1" applyAlignment="1">
      <alignment horizontal="center" vertical="center" wrapText="1"/>
    </xf>
    <xf numFmtId="14" fontId="46" fillId="0" borderId="0" xfId="0" applyNumberFormat="1" applyFont="1"/>
    <xf numFmtId="0" fontId="62" fillId="2" borderId="3" xfId="0" applyFont="1" applyFill="1" applyBorder="1" applyAlignment="1">
      <alignment horizontal="left" vertical="center" wrapText="1"/>
    </xf>
    <xf numFmtId="0" fontId="61" fillId="0" borderId="1" xfId="0" applyFont="1" applyBorder="1"/>
    <xf numFmtId="4" fontId="62" fillId="2" borderId="3" xfId="0" applyNumberFormat="1" applyFont="1" applyFill="1" applyBorder="1" applyAlignment="1">
      <alignment horizontal="right" vertical="center" wrapText="1"/>
    </xf>
    <xf numFmtId="0" fontId="62" fillId="2" borderId="3" xfId="0" applyFont="1" applyFill="1" applyBorder="1" applyAlignment="1">
      <alignment horizontal="center" vertical="center" wrapText="1"/>
    </xf>
    <xf numFmtId="3" fontId="62" fillId="2" borderId="3" xfId="0" applyNumberFormat="1" applyFont="1" applyFill="1" applyBorder="1" applyAlignment="1">
      <alignment vertical="center" wrapText="1"/>
    </xf>
    <xf numFmtId="0" fontId="61" fillId="5" borderId="0" xfId="0" applyFont="1" applyFill="1"/>
    <xf numFmtId="0" fontId="64" fillId="0" borderId="0" xfId="0" applyFont="1"/>
    <xf numFmtId="168" fontId="63" fillId="0" borderId="0" xfId="1" applyNumberFormat="1" applyFont="1" applyFill="1" applyBorder="1"/>
    <xf numFmtId="0" fontId="0" fillId="3" borderId="0" xfId="0" applyFill="1"/>
    <xf numFmtId="3" fontId="0" fillId="3" borderId="0" xfId="0" applyNumberFormat="1" applyFill="1"/>
    <xf numFmtId="3" fontId="0" fillId="5" borderId="0" xfId="0" applyNumberFormat="1" applyFill="1"/>
    <xf numFmtId="0" fontId="62" fillId="5" borderId="3" xfId="0" applyFont="1" applyFill="1" applyBorder="1" applyAlignment="1">
      <alignment horizontal="center" vertical="center" wrapText="1"/>
    </xf>
    <xf numFmtId="14" fontId="41" fillId="5" borderId="1" xfId="0" applyNumberFormat="1" applyFont="1" applyFill="1" applyBorder="1" applyAlignment="1">
      <alignment horizontal="right"/>
    </xf>
    <xf numFmtId="0" fontId="54" fillId="0" borderId="1" xfId="0" applyFont="1" applyBorder="1"/>
    <xf numFmtId="0" fontId="56" fillId="0" borderId="1" xfId="3" applyFont="1" applyBorder="1"/>
    <xf numFmtId="178" fontId="56" fillId="0" borderId="1" xfId="3" applyNumberFormat="1" applyFont="1" applyBorder="1" applyAlignment="1">
      <alignment vertical="top" wrapText="1"/>
    </xf>
    <xf numFmtId="14" fontId="54" fillId="0" borderId="1" xfId="0" applyNumberFormat="1" applyFont="1" applyBorder="1"/>
    <xf numFmtId="0" fontId="54" fillId="0" borderId="1" xfId="3" applyFont="1" applyBorder="1"/>
    <xf numFmtId="178" fontId="54" fillId="0" borderId="1" xfId="3" applyNumberFormat="1" applyFont="1" applyBorder="1" applyAlignment="1">
      <alignment vertical="top" wrapText="1"/>
    </xf>
    <xf numFmtId="0" fontId="65" fillId="5" borderId="1" xfId="0" applyFont="1" applyFill="1" applyBorder="1"/>
    <xf numFmtId="0" fontId="65" fillId="5" borderId="1" xfId="0" applyFont="1" applyFill="1" applyBorder="1" applyAlignment="1">
      <alignment vertical="center"/>
    </xf>
    <xf numFmtId="0" fontId="66" fillId="0" borderId="1" xfId="0" applyFont="1" applyBorder="1" applyAlignment="1">
      <alignment vertical="center"/>
    </xf>
    <xf numFmtId="0" fontId="66" fillId="5" borderId="1" xfId="0" applyFont="1" applyFill="1" applyBorder="1"/>
    <xf numFmtId="14" fontId="65" fillId="5" borderId="1" xfId="0" applyNumberFormat="1" applyFont="1" applyFill="1" applyBorder="1"/>
    <xf numFmtId="14" fontId="65" fillId="5" borderId="1" xfId="0" applyNumberFormat="1" applyFont="1" applyFill="1" applyBorder="1" applyAlignment="1">
      <alignment horizontal="right"/>
    </xf>
    <xf numFmtId="168" fontId="66" fillId="5" borderId="1" xfId="1" applyNumberFormat="1" applyFont="1" applyFill="1" applyBorder="1"/>
    <xf numFmtId="0" fontId="65" fillId="0" borderId="1" xfId="0" applyFont="1" applyBorder="1"/>
    <xf numFmtId="168" fontId="66" fillId="0" borderId="1" xfId="1" applyNumberFormat="1" applyFont="1" applyFill="1" applyBorder="1"/>
    <xf numFmtId="0" fontId="57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67" fillId="0" borderId="0" xfId="0" applyFont="1" applyAlignment="1">
      <alignment horizontal="right" vertical="center"/>
    </xf>
    <xf numFmtId="17" fontId="67" fillId="0" borderId="0" xfId="0" applyNumberFormat="1" applyFont="1" applyAlignment="1">
      <alignment vertical="center"/>
    </xf>
    <xf numFmtId="17" fontId="67" fillId="0" borderId="0" xfId="0" applyNumberFormat="1" applyFont="1" applyAlignment="1">
      <alignment horizontal="left" vertical="center"/>
    </xf>
    <xf numFmtId="0" fontId="67" fillId="0" borderId="22" xfId="0" applyFont="1" applyBorder="1" applyAlignment="1">
      <alignment vertical="center"/>
    </xf>
    <xf numFmtId="0" fontId="57" fillId="11" borderId="6" xfId="0" applyFont="1" applyFill="1" applyBorder="1" applyAlignment="1">
      <alignment vertical="center"/>
    </xf>
    <xf numFmtId="0" fontId="57" fillId="11" borderId="7" xfId="0" applyFont="1" applyFill="1" applyBorder="1" applyAlignment="1">
      <alignment vertical="center"/>
    </xf>
    <xf numFmtId="0" fontId="57" fillId="11" borderId="25" xfId="0" applyFont="1" applyFill="1" applyBorder="1" applyAlignment="1">
      <alignment vertical="center"/>
    </xf>
    <xf numFmtId="0" fontId="57" fillId="11" borderId="40" xfId="0" applyFont="1" applyFill="1" applyBorder="1" applyAlignment="1">
      <alignment vertical="center"/>
    </xf>
    <xf numFmtId="0" fontId="57" fillId="11" borderId="36" xfId="0" applyFont="1" applyFill="1" applyBorder="1" applyAlignment="1">
      <alignment vertical="center"/>
    </xf>
    <xf numFmtId="0" fontId="67" fillId="11" borderId="27" xfId="0" applyFont="1" applyFill="1" applyBorder="1" applyAlignment="1">
      <alignment horizontal="center" vertical="center"/>
    </xf>
    <xf numFmtId="0" fontId="67" fillId="11" borderId="10" xfId="0" applyFont="1" applyFill="1" applyBorder="1" applyAlignment="1">
      <alignment horizontal="center" vertical="center"/>
    </xf>
    <xf numFmtId="0" fontId="67" fillId="11" borderId="1" xfId="0" applyFont="1" applyFill="1" applyBorder="1" applyAlignment="1">
      <alignment horizontal="center" vertical="center"/>
    </xf>
    <xf numFmtId="171" fontId="60" fillId="0" borderId="1" xfId="3" applyNumberFormat="1" applyFont="1" applyBorder="1"/>
    <xf numFmtId="171" fontId="60" fillId="0" borderId="2" xfId="3" applyNumberFormat="1" applyFont="1" applyBorder="1"/>
    <xf numFmtId="166" fontId="57" fillId="0" borderId="1" xfId="0" applyNumberFormat="1" applyFont="1" applyBorder="1"/>
    <xf numFmtId="168" fontId="42" fillId="0" borderId="1" xfId="1" applyNumberFormat="1" applyFont="1" applyFill="1" applyBorder="1"/>
    <xf numFmtId="168" fontId="46" fillId="0" borderId="1" xfId="1" applyNumberFormat="1" applyFont="1" applyBorder="1"/>
    <xf numFmtId="0" fontId="42" fillId="0" borderId="1" xfId="0" applyFont="1" applyBorder="1" applyAlignment="1">
      <alignment horizontal="left"/>
    </xf>
    <xf numFmtId="0" fontId="46" fillId="5" borderId="2" xfId="0" applyFont="1" applyFill="1" applyBorder="1" applyAlignment="1">
      <alignment horizontal="left" vertical="center"/>
    </xf>
    <xf numFmtId="14" fontId="67" fillId="6" borderId="6" xfId="0" applyNumberFormat="1" applyFont="1" applyFill="1" applyBorder="1" applyAlignment="1">
      <alignment horizontal="left" vertical="center"/>
    </xf>
    <xf numFmtId="0" fontId="58" fillId="6" borderId="8" xfId="0" applyFont="1" applyFill="1" applyBorder="1" applyAlignment="1">
      <alignment vertical="center"/>
    </xf>
    <xf numFmtId="0" fontId="67" fillId="6" borderId="1" xfId="0" applyFont="1" applyFill="1" applyBorder="1" applyAlignment="1">
      <alignment vertical="center"/>
    </xf>
    <xf numFmtId="165" fontId="58" fillId="6" borderId="1" xfId="0" applyNumberFormat="1" applyFont="1" applyFill="1" applyBorder="1" applyAlignment="1">
      <alignment vertical="center"/>
    </xf>
    <xf numFmtId="0" fontId="58" fillId="6" borderId="1" xfId="0" applyFont="1" applyFill="1" applyBorder="1" applyAlignment="1">
      <alignment vertical="center"/>
    </xf>
    <xf numFmtId="0" fontId="41" fillId="0" borderId="30" xfId="0" applyFont="1" applyBorder="1" applyAlignment="1">
      <alignment vertical="center"/>
    </xf>
    <xf numFmtId="0" fontId="41" fillId="0" borderId="39" xfId="0" applyFont="1" applyBorder="1" applyAlignment="1">
      <alignment vertical="center"/>
    </xf>
    <xf numFmtId="3" fontId="58" fillId="0" borderId="1" xfId="0" applyNumberFormat="1" applyFont="1" applyBorder="1" applyAlignment="1">
      <alignment vertical="center"/>
    </xf>
    <xf numFmtId="0" fontId="58" fillId="0" borderId="0" xfId="0" applyFont="1" applyAlignment="1">
      <alignment vertical="center"/>
    </xf>
    <xf numFmtId="0" fontId="67" fillId="0" borderId="1" xfId="0" applyFont="1" applyBorder="1" applyAlignment="1">
      <alignment vertical="center"/>
    </xf>
    <xf numFmtId="0" fontId="58" fillId="0" borderId="1" xfId="0" applyFont="1" applyBorder="1" applyAlignment="1">
      <alignment vertical="center"/>
    </xf>
    <xf numFmtId="0" fontId="68" fillId="0" borderId="0" xfId="0" applyFont="1" applyAlignment="1">
      <alignment vertical="center"/>
    </xf>
    <xf numFmtId="0" fontId="69" fillId="0" borderId="1" xfId="0" applyFont="1" applyBorder="1" applyAlignment="1">
      <alignment horizontal="center" vertical="center"/>
    </xf>
    <xf numFmtId="0" fontId="70" fillId="0" borderId="1" xfId="0" applyFont="1" applyBorder="1" applyAlignment="1">
      <alignment vertical="center"/>
    </xf>
    <xf numFmtId="0" fontId="41" fillId="0" borderId="0" xfId="0" applyFont="1"/>
    <xf numFmtId="0" fontId="57" fillId="0" borderId="1" xfId="0" applyFont="1" applyBorder="1"/>
    <xf numFmtId="166" fontId="41" fillId="0" borderId="1" xfId="0" applyNumberFormat="1" applyFont="1" applyBorder="1"/>
    <xf numFmtId="17" fontId="57" fillId="0" borderId="1" xfId="0" applyNumberFormat="1" applyFont="1" applyBorder="1" applyAlignment="1">
      <alignment horizontal="center"/>
    </xf>
    <xf numFmtId="0" fontId="72" fillId="0" borderId="1" xfId="0" applyFont="1" applyBorder="1" applyAlignment="1">
      <alignment vertical="center"/>
    </xf>
    <xf numFmtId="14" fontId="41" fillId="0" borderId="0" xfId="0" applyNumberFormat="1" applyFont="1"/>
    <xf numFmtId="0" fontId="41" fillId="0" borderId="35" xfId="0" applyFont="1" applyBorder="1"/>
    <xf numFmtId="0" fontId="41" fillId="0" borderId="2" xfId="0" applyFont="1" applyBorder="1"/>
    <xf numFmtId="0" fontId="46" fillId="0" borderId="2" xfId="0" applyFont="1" applyBorder="1" applyAlignment="1">
      <alignment horizontal="left" vertical="center"/>
    </xf>
    <xf numFmtId="168" fontId="46" fillId="0" borderId="1" xfId="1" applyNumberFormat="1" applyFont="1" applyFill="1" applyBorder="1"/>
    <xf numFmtId="0" fontId="41" fillId="0" borderId="2" xfId="0" applyFont="1" applyBorder="1" applyAlignment="1">
      <alignment horizontal="center"/>
    </xf>
    <xf numFmtId="14" fontId="41" fillId="0" borderId="29" xfId="0" applyNumberFormat="1" applyFont="1" applyBorder="1"/>
    <xf numFmtId="0" fontId="41" fillId="0" borderId="29" xfId="0" applyFont="1" applyBorder="1" applyAlignment="1">
      <alignment horizontal="center"/>
    </xf>
    <xf numFmtId="14" fontId="41" fillId="0" borderId="19" xfId="0" applyNumberFormat="1" applyFont="1" applyBorder="1"/>
    <xf numFmtId="0" fontId="41" fillId="0" borderId="19" xfId="0" applyFont="1" applyBorder="1"/>
    <xf numFmtId="14" fontId="57" fillId="0" borderId="6" xfId="0" applyNumberFormat="1" applyFont="1" applyBorder="1"/>
    <xf numFmtId="0" fontId="57" fillId="0" borderId="8" xfId="0" applyFont="1" applyBorder="1"/>
    <xf numFmtId="169" fontId="57" fillId="0" borderId="1" xfId="0" applyNumberFormat="1" applyFont="1" applyBorder="1"/>
    <xf numFmtId="166" fontId="57" fillId="0" borderId="1" xfId="0" applyNumberFormat="1" applyFont="1" applyBorder="1" applyAlignment="1">
      <alignment horizontal="right" wrapText="1"/>
    </xf>
    <xf numFmtId="166" fontId="41" fillId="0" borderId="0" xfId="0" applyNumberFormat="1" applyFont="1"/>
    <xf numFmtId="0" fontId="57" fillId="0" borderId="0" xfId="0" applyFont="1"/>
    <xf numFmtId="168" fontId="0" fillId="0" borderId="1" xfId="1" applyNumberFormat="1" applyFont="1" applyBorder="1"/>
    <xf numFmtId="168" fontId="35" fillId="5" borderId="9" xfId="1" applyNumberFormat="1" applyFont="1" applyFill="1" applyBorder="1"/>
    <xf numFmtId="0" fontId="38" fillId="0" borderId="1" xfId="0" applyFont="1" applyBorder="1" applyAlignment="1">
      <alignment horizontal="left"/>
    </xf>
    <xf numFmtId="172" fontId="38" fillId="0" borderId="1" xfId="0" applyNumberFormat="1" applyFont="1" applyBorder="1"/>
    <xf numFmtId="14" fontId="0" fillId="5" borderId="1" xfId="0" applyNumberFormat="1" applyFill="1" applyBorder="1"/>
    <xf numFmtId="0" fontId="54" fillId="0" borderId="0" xfId="0" applyFont="1"/>
    <xf numFmtId="0" fontId="0" fillId="5" borderId="9" xfId="0" applyFill="1" applyBorder="1"/>
    <xf numFmtId="168" fontId="58" fillId="0" borderId="1" xfId="1" applyNumberFormat="1" applyFont="1" applyFill="1" applyBorder="1"/>
    <xf numFmtId="0" fontId="75" fillId="0" borderId="1" xfId="0" applyFont="1" applyBorder="1"/>
    <xf numFmtId="0" fontId="34" fillId="5" borderId="9" xfId="0" applyFont="1" applyFill="1" applyBorder="1"/>
    <xf numFmtId="0" fontId="34" fillId="5" borderId="1" xfId="0" applyFont="1" applyFill="1" applyBorder="1"/>
    <xf numFmtId="168" fontId="34" fillId="5" borderId="1" xfId="1" applyNumberFormat="1" applyFont="1" applyFill="1" applyBorder="1"/>
    <xf numFmtId="172" fontId="38" fillId="5" borderId="1" xfId="0" applyNumberFormat="1" applyFont="1" applyFill="1" applyBorder="1"/>
    <xf numFmtId="0" fontId="42" fillId="5" borderId="1" xfId="0" applyFont="1" applyFill="1" applyBorder="1" applyAlignment="1">
      <alignment horizontal="left" vertical="center"/>
    </xf>
    <xf numFmtId="0" fontId="42" fillId="5" borderId="9" xfId="0" applyFont="1" applyFill="1" applyBorder="1" applyAlignment="1">
      <alignment horizontal="left" vertical="center"/>
    </xf>
    <xf numFmtId="168" fontId="35" fillId="0" borderId="9" xfId="1" applyNumberFormat="1" applyFont="1" applyFill="1" applyBorder="1"/>
    <xf numFmtId="171" fontId="60" fillId="0" borderId="42" xfId="3" applyNumberFormat="1" applyFont="1" applyBorder="1"/>
    <xf numFmtId="168" fontId="0" fillId="0" borderId="1" xfId="1" applyNumberFormat="1" applyFont="1" applyBorder="1" applyAlignment="1"/>
    <xf numFmtId="14" fontId="41" fillId="5" borderId="1" xfId="0" applyNumberFormat="1" applyFont="1" applyFill="1" applyBorder="1"/>
    <xf numFmtId="0" fontId="76" fillId="5" borderId="1" xfId="0" applyFont="1" applyFill="1" applyBorder="1"/>
    <xf numFmtId="0" fontId="76" fillId="0" borderId="1" xfId="0" applyFont="1" applyBorder="1"/>
    <xf numFmtId="14" fontId="37" fillId="0" borderId="1" xfId="3" applyNumberFormat="1" applyFont="1" applyBorder="1"/>
    <xf numFmtId="0" fontId="77" fillId="5" borderId="1" xfId="3" applyFont="1" applyFill="1" applyBorder="1"/>
    <xf numFmtId="178" fontId="77" fillId="5" borderId="1" xfId="3" applyNumberFormat="1" applyFont="1" applyFill="1" applyBorder="1" applyAlignment="1">
      <alignment vertical="top" wrapText="1"/>
    </xf>
    <xf numFmtId="0" fontId="78" fillId="5" borderId="1" xfId="0" applyFont="1" applyFill="1" applyBorder="1"/>
    <xf numFmtId="168" fontId="78" fillId="5" borderId="1" xfId="1" applyNumberFormat="1" applyFont="1" applyFill="1" applyBorder="1"/>
    <xf numFmtId="0" fontId="77" fillId="5" borderId="1" xfId="0" applyFont="1" applyFill="1" applyBorder="1"/>
    <xf numFmtId="0" fontId="78" fillId="0" borderId="1" xfId="0" applyFont="1" applyBorder="1"/>
    <xf numFmtId="0" fontId="77" fillId="5" borderId="9" xfId="3" applyFont="1" applyFill="1" applyBorder="1"/>
    <xf numFmtId="41" fontId="78" fillId="0" borderId="1" xfId="11" applyFont="1" applyBorder="1"/>
    <xf numFmtId="168" fontId="46" fillId="5" borderId="1" xfId="1" applyNumberFormat="1" applyFont="1" applyFill="1" applyBorder="1"/>
    <xf numFmtId="168" fontId="42" fillId="5" borderId="9" xfId="1" applyNumberFormat="1" applyFont="1" applyFill="1" applyBorder="1"/>
    <xf numFmtId="168" fontId="42" fillId="0" borderId="9" xfId="1" applyNumberFormat="1" applyFont="1" applyFill="1" applyBorder="1"/>
    <xf numFmtId="171" fontId="60" fillId="0" borderId="41" xfId="3" applyNumberFormat="1" applyFont="1" applyBorder="1"/>
    <xf numFmtId="166" fontId="33" fillId="0" borderId="1" xfId="1" applyNumberFormat="1" applyFont="1" applyBorder="1" applyAlignment="1">
      <alignment vertical="top" wrapText="1"/>
    </xf>
    <xf numFmtId="166" fontId="33" fillId="0" borderId="3" xfId="0" applyNumberFormat="1" applyFont="1" applyBorder="1" applyAlignment="1">
      <alignment vertical="top" wrapText="1"/>
    </xf>
    <xf numFmtId="166" fontId="33" fillId="0" borderId="3" xfId="1" applyNumberFormat="1" applyFont="1" applyBorder="1" applyAlignment="1">
      <alignment vertical="top" wrapText="1"/>
    </xf>
    <xf numFmtId="166" fontId="33" fillId="17" borderId="1" xfId="0" applyNumberFormat="1" applyFont="1" applyFill="1" applyBorder="1" applyAlignment="1">
      <alignment vertical="center" wrapText="1"/>
    </xf>
    <xf numFmtId="166" fontId="33" fillId="0" borderId="3" xfId="0" applyNumberFormat="1" applyFont="1" applyBorder="1" applyAlignment="1">
      <alignment vertical="center" wrapText="1"/>
    </xf>
    <xf numFmtId="166" fontId="31" fillId="13" borderId="9" xfId="0" applyNumberFormat="1" applyFont="1" applyFill="1" applyBorder="1" applyAlignment="1">
      <alignment vertical="top" wrapText="1"/>
    </xf>
    <xf numFmtId="0" fontId="32" fillId="17" borderId="1" xfId="0" applyFont="1" applyFill="1" applyBorder="1" applyAlignment="1">
      <alignment vertical="top" wrapText="1"/>
    </xf>
    <xf numFmtId="166" fontId="32" fillId="17" borderId="1" xfId="0" applyNumberFormat="1" applyFont="1" applyFill="1" applyBorder="1" applyAlignment="1">
      <alignment vertical="top" wrapText="1"/>
    </xf>
    <xf numFmtId="166" fontId="32" fillId="17" borderId="1" xfId="1" applyNumberFormat="1" applyFont="1" applyFill="1" applyBorder="1" applyAlignment="1">
      <alignment vertical="top" wrapText="1"/>
    </xf>
    <xf numFmtId="166" fontId="7" fillId="2" borderId="1" xfId="0" applyNumberFormat="1" applyFont="1" applyFill="1" applyBorder="1" applyAlignment="1">
      <alignment horizontal="right" vertical="center" wrapText="1"/>
    </xf>
    <xf numFmtId="166" fontId="46" fillId="5" borderId="1" xfId="0" applyNumberFormat="1" applyFont="1" applyFill="1" applyBorder="1" applyAlignment="1">
      <alignment vertical="center"/>
    </xf>
    <xf numFmtId="166" fontId="65" fillId="5" borderId="1" xfId="0" applyNumberFormat="1" applyFont="1" applyFill="1" applyBorder="1" applyAlignment="1">
      <alignment vertical="center"/>
    </xf>
    <xf numFmtId="166" fontId="59" fillId="0" borderId="0" xfId="0" applyNumberFormat="1" applyFont="1"/>
    <xf numFmtId="0" fontId="31" fillId="13" borderId="3" xfId="0" applyFont="1" applyFill="1" applyBorder="1" applyAlignment="1">
      <alignment vertical="top" wrapText="1"/>
    </xf>
    <xf numFmtId="166" fontId="31" fillId="13" borderId="3" xfId="0" applyNumberFormat="1" applyFont="1" applyFill="1" applyBorder="1" applyAlignment="1">
      <alignment vertical="top" wrapText="1"/>
    </xf>
    <xf numFmtId="3" fontId="30" fillId="12" borderId="1" xfId="0" applyNumberFormat="1" applyFont="1" applyFill="1" applyBorder="1" applyAlignment="1">
      <alignment horizontal="center" vertical="center" wrapText="1"/>
    </xf>
    <xf numFmtId="3" fontId="31" fillId="13" borderId="1" xfId="0" applyNumberFormat="1" applyFont="1" applyFill="1" applyBorder="1" applyAlignment="1">
      <alignment vertical="center" wrapText="1"/>
    </xf>
    <xf numFmtId="3" fontId="33" fillId="0" borderId="1" xfId="0" applyNumberFormat="1" applyFont="1" applyBorder="1" applyAlignment="1">
      <alignment vertical="center" wrapText="1"/>
    </xf>
    <xf numFmtId="3" fontId="32" fillId="0" borderId="1" xfId="0" applyNumberFormat="1" applyFont="1" applyBorder="1" applyAlignment="1">
      <alignment vertical="top" wrapText="1"/>
    </xf>
    <xf numFmtId="3" fontId="33" fillId="0" borderId="1" xfId="0" applyNumberFormat="1" applyFont="1" applyBorder="1" applyAlignment="1">
      <alignment vertical="top" wrapText="1"/>
    </xf>
    <xf numFmtId="3" fontId="33" fillId="0" borderId="3" xfId="0" applyNumberFormat="1" applyFont="1" applyBorder="1" applyAlignment="1">
      <alignment vertical="top" wrapText="1"/>
    </xf>
    <xf numFmtId="3" fontId="32" fillId="0" borderId="3" xfId="0" applyNumberFormat="1" applyFont="1" applyBorder="1" applyAlignment="1">
      <alignment vertical="top" wrapText="1"/>
    </xf>
    <xf numFmtId="3" fontId="31" fillId="0" borderId="1" xfId="0" applyNumberFormat="1" applyFont="1" applyBorder="1" applyAlignment="1">
      <alignment vertical="center" wrapText="1"/>
    </xf>
    <xf numFmtId="3" fontId="31" fillId="13" borderId="3" xfId="0" applyNumberFormat="1" applyFont="1" applyFill="1" applyBorder="1" applyAlignment="1">
      <alignment vertical="top" wrapText="1"/>
    </xf>
    <xf numFmtId="3" fontId="32" fillId="17" borderId="1" xfId="0" applyNumberFormat="1" applyFont="1" applyFill="1" applyBorder="1" applyAlignment="1">
      <alignment vertical="top" wrapText="1"/>
    </xf>
    <xf numFmtId="3" fontId="31" fillId="13" borderId="9" xfId="0" applyNumberFormat="1" applyFont="1" applyFill="1" applyBorder="1" applyAlignment="1">
      <alignment vertical="top" wrapText="1"/>
    </xf>
    <xf numFmtId="3" fontId="79" fillId="0" borderId="0" xfId="0" applyNumberFormat="1" applyFont="1"/>
    <xf numFmtId="0" fontId="80" fillId="5" borderId="1" xfId="3" applyFont="1" applyFill="1" applyBorder="1"/>
    <xf numFmtId="0" fontId="81" fillId="5" borderId="1" xfId="0" applyFont="1" applyFill="1" applyBorder="1"/>
    <xf numFmtId="0" fontId="80" fillId="0" borderId="1" xfId="3" applyFont="1" applyBorder="1"/>
    <xf numFmtId="178" fontId="80" fillId="5" borderId="1" xfId="3" applyNumberFormat="1" applyFont="1" applyFill="1" applyBorder="1" applyAlignment="1">
      <alignment vertical="top" wrapText="1"/>
    </xf>
    <xf numFmtId="178" fontId="80" fillId="0" borderId="1" xfId="3" applyNumberFormat="1" applyFont="1" applyBorder="1" applyAlignment="1">
      <alignment vertical="top" wrapText="1"/>
    </xf>
    <xf numFmtId="0" fontId="1" fillId="5" borderId="1" xfId="0" applyFont="1" applyFill="1" applyBorder="1"/>
    <xf numFmtId="174" fontId="45" fillId="5" borderId="5" xfId="3" applyNumberFormat="1" applyFont="1" applyFill="1" applyBorder="1" applyAlignment="1">
      <alignment vertical="top" wrapText="1"/>
    </xf>
    <xf numFmtId="0" fontId="46" fillId="5" borderId="3" xfId="0" applyFont="1" applyFill="1" applyBorder="1"/>
    <xf numFmtId="3" fontId="46" fillId="5" borderId="3" xfId="0" applyNumberFormat="1" applyFont="1" applyFill="1" applyBorder="1"/>
    <xf numFmtId="175" fontId="49" fillId="5" borderId="3" xfId="4" applyNumberFormat="1" applyFont="1" applyFill="1" applyBorder="1"/>
    <xf numFmtId="0" fontId="46" fillId="5" borderId="3" xfId="0" applyFont="1" applyFill="1" applyBorder="1" applyAlignment="1">
      <alignment vertical="center"/>
    </xf>
    <xf numFmtId="14" fontId="82" fillId="0" borderId="1" xfId="0" applyNumberFormat="1" applyFont="1" applyBorder="1" applyAlignment="1">
      <alignment vertical="center"/>
    </xf>
    <xf numFmtId="0" fontId="58" fillId="5" borderId="1" xfId="0" applyFont="1" applyFill="1" applyBorder="1"/>
    <xf numFmtId="0" fontId="82" fillId="5" borderId="1" xfId="0" applyFont="1" applyFill="1" applyBorder="1"/>
    <xf numFmtId="0" fontId="82" fillId="5" borderId="1" xfId="0" applyFont="1" applyFill="1" applyBorder="1" applyAlignment="1">
      <alignment vertical="center"/>
    </xf>
    <xf numFmtId="0" fontId="83" fillId="0" borderId="1" xfId="0" applyFont="1" applyBorder="1" applyAlignment="1">
      <alignment horizontal="left" vertical="center"/>
    </xf>
    <xf numFmtId="0" fontId="82" fillId="0" borderId="1" xfId="0" applyFont="1" applyBorder="1" applyAlignment="1">
      <alignment vertical="center"/>
    </xf>
    <xf numFmtId="14" fontId="82" fillId="0" borderId="9" xfId="0" applyNumberFormat="1" applyFont="1" applyBorder="1" applyAlignment="1">
      <alignment vertical="center"/>
    </xf>
    <xf numFmtId="0" fontId="82" fillId="0" borderId="9" xfId="0" applyFont="1" applyBorder="1" applyAlignment="1">
      <alignment vertical="center"/>
    </xf>
    <xf numFmtId="0" fontId="82" fillId="5" borderId="9" xfId="0" applyFont="1" applyFill="1" applyBorder="1" applyAlignment="1">
      <alignment vertical="center"/>
    </xf>
    <xf numFmtId="0" fontId="84" fillId="0" borderId="9" xfId="0" applyFont="1" applyBorder="1" applyAlignment="1">
      <alignment vertical="center"/>
    </xf>
    <xf numFmtId="14" fontId="82" fillId="0" borderId="1" xfId="0" applyNumberFormat="1" applyFont="1" applyBorder="1" applyAlignment="1">
      <alignment horizontal="right" vertical="center"/>
    </xf>
    <xf numFmtId="14" fontId="82" fillId="0" borderId="9" xfId="0" applyNumberFormat="1" applyFont="1" applyBorder="1" applyAlignment="1">
      <alignment horizontal="right" vertical="center"/>
    </xf>
    <xf numFmtId="0" fontId="0" fillId="0" borderId="9" xfId="0" applyBorder="1" applyAlignment="1">
      <alignment vertical="center"/>
    </xf>
    <xf numFmtId="0" fontId="85" fillId="5" borderId="1" xfId="0" applyFont="1" applyFill="1" applyBorder="1" applyAlignment="1">
      <alignment vertical="center"/>
    </xf>
    <xf numFmtId="0" fontId="85" fillId="5" borderId="9" xfId="0" applyFont="1" applyFill="1" applyBorder="1" applyAlignment="1">
      <alignment vertical="center"/>
    </xf>
    <xf numFmtId="0" fontId="86" fillId="5" borderId="9" xfId="0" applyFont="1" applyFill="1" applyBorder="1" applyAlignment="1">
      <alignment vertical="center"/>
    </xf>
    <xf numFmtId="14" fontId="1" fillId="5" borderId="1" xfId="0" applyNumberFormat="1" applyFont="1" applyFill="1" applyBorder="1"/>
    <xf numFmtId="0" fontId="87" fillId="0" borderId="1" xfId="0" applyFont="1" applyBorder="1"/>
    <xf numFmtId="174" fontId="46" fillId="5" borderId="3" xfId="3" applyNumberFormat="1" applyFont="1" applyFill="1" applyBorder="1" applyAlignment="1">
      <alignment vertical="top" wrapText="1"/>
    </xf>
    <xf numFmtId="14" fontId="46" fillId="0" borderId="1" xfId="0" applyNumberFormat="1" applyFont="1" applyBorder="1" applyAlignment="1">
      <alignment vertical="center"/>
    </xf>
    <xf numFmtId="0" fontId="46" fillId="0" borderId="1" xfId="0" applyFont="1" applyBorder="1" applyAlignment="1">
      <alignment vertical="center"/>
    </xf>
    <xf numFmtId="14" fontId="76" fillId="0" borderId="1" xfId="0" applyNumberFormat="1" applyFont="1" applyBorder="1"/>
    <xf numFmtId="0" fontId="88" fillId="0" borderId="1" xfId="0" applyFont="1" applyBorder="1"/>
    <xf numFmtId="14" fontId="76" fillId="5" borderId="1" xfId="0" applyNumberFormat="1" applyFont="1" applyFill="1" applyBorder="1"/>
    <xf numFmtId="0" fontId="88" fillId="5" borderId="1" xfId="0" applyFont="1" applyFill="1" applyBorder="1"/>
    <xf numFmtId="14" fontId="48" fillId="5" borderId="1" xfId="0" applyNumberFormat="1" applyFont="1" applyFill="1" applyBorder="1" applyAlignment="1">
      <alignment horizontal="right" vertical="center"/>
    </xf>
    <xf numFmtId="0" fontId="48" fillId="5" borderId="1" xfId="0" applyFont="1" applyFill="1" applyBorder="1"/>
    <xf numFmtId="168" fontId="41" fillId="5" borderId="1" xfId="1" applyNumberFormat="1" applyFont="1" applyFill="1" applyBorder="1"/>
    <xf numFmtId="168" fontId="0" fillId="5" borderId="1" xfId="1" applyNumberFormat="1" applyFont="1" applyFill="1" applyBorder="1"/>
    <xf numFmtId="0" fontId="85" fillId="5" borderId="1" xfId="0" applyFont="1" applyFill="1" applyBorder="1"/>
    <xf numFmtId="0" fontId="58" fillId="0" borderId="1" xfId="0" applyFont="1" applyBorder="1"/>
    <xf numFmtId="0" fontId="40" fillId="0" borderId="1" xfId="0" applyFont="1" applyBorder="1"/>
    <xf numFmtId="175" fontId="49" fillId="5" borderId="9" xfId="4" applyNumberFormat="1" applyFont="1" applyFill="1" applyBorder="1" applyAlignment="1">
      <alignment horizontal="center" vertical="center"/>
    </xf>
    <xf numFmtId="168" fontId="87" fillId="5" borderId="9" xfId="1" applyNumberFormat="1" applyFont="1" applyFill="1" applyBorder="1"/>
    <xf numFmtId="3" fontId="0" fillId="5" borderId="1" xfId="0" applyNumberFormat="1" applyFill="1" applyBorder="1"/>
    <xf numFmtId="0" fontId="1" fillId="0" borderId="1" xfId="0" applyFont="1" applyBorder="1"/>
    <xf numFmtId="0" fontId="87" fillId="5" borderId="1" xfId="0" applyFont="1" applyFill="1" applyBorder="1"/>
    <xf numFmtId="0" fontId="34" fillId="0" borderId="9" xfId="0" applyFont="1" applyBorder="1"/>
    <xf numFmtId="0" fontId="83" fillId="0" borderId="1" xfId="0" applyFont="1" applyBorder="1"/>
    <xf numFmtId="16" fontId="37" fillId="0" borderId="1" xfId="3" applyNumberFormat="1" applyFont="1" applyBorder="1"/>
    <xf numFmtId="0" fontId="46" fillId="0" borderId="1" xfId="0" applyFont="1" applyBorder="1" applyAlignment="1">
      <alignment horizontal="left" vertical="center"/>
    </xf>
    <xf numFmtId="14" fontId="60" fillId="0" borderId="1" xfId="3" applyNumberFormat="1" applyFont="1" applyBorder="1"/>
    <xf numFmtId="0" fontId="46" fillId="5" borderId="9" xfId="0" applyFont="1" applyFill="1" applyBorder="1"/>
    <xf numFmtId="172" fontId="42" fillId="0" borderId="1" xfId="0" applyNumberFormat="1" applyFont="1" applyBorder="1"/>
    <xf numFmtId="14" fontId="46" fillId="5" borderId="1" xfId="0" applyNumberFormat="1" applyFont="1" applyFill="1" applyBorder="1"/>
    <xf numFmtId="1" fontId="46" fillId="5" borderId="1" xfId="0" applyNumberFormat="1" applyFont="1" applyFill="1" applyBorder="1" applyAlignment="1">
      <alignment vertical="center"/>
    </xf>
    <xf numFmtId="178" fontId="55" fillId="5" borderId="1" xfId="3" applyNumberFormat="1" applyFont="1" applyFill="1" applyBorder="1" applyAlignment="1">
      <alignment vertical="top" wrapText="1"/>
    </xf>
    <xf numFmtId="0" fontId="55" fillId="5" borderId="1" xfId="0" applyFont="1" applyFill="1" applyBorder="1"/>
    <xf numFmtId="14" fontId="46" fillId="0" borderId="1" xfId="0" applyNumberFormat="1" applyFont="1" applyBorder="1"/>
    <xf numFmtId="0" fontId="55" fillId="0" borderId="1" xfId="3" applyFont="1" applyBorder="1"/>
    <xf numFmtId="178" fontId="55" fillId="0" borderId="1" xfId="3" applyNumberFormat="1" applyFont="1" applyBorder="1" applyAlignment="1">
      <alignment vertical="top" wrapText="1"/>
    </xf>
    <xf numFmtId="3" fontId="46" fillId="0" borderId="1" xfId="0" applyNumberFormat="1" applyFont="1" applyBorder="1"/>
    <xf numFmtId="14" fontId="42" fillId="0" borderId="1" xfId="0" applyNumberFormat="1" applyFont="1" applyBorder="1" applyAlignment="1">
      <alignment vertical="center"/>
    </xf>
    <xf numFmtId="0" fontId="42" fillId="5" borderId="1" xfId="0" applyFont="1" applyFill="1" applyBorder="1"/>
    <xf numFmtId="0" fontId="42" fillId="5" borderId="1" xfId="0" applyFont="1" applyFill="1" applyBorder="1" applyAlignment="1">
      <alignment vertical="center"/>
    </xf>
    <xf numFmtId="0" fontId="42" fillId="0" borderId="1" xfId="0" applyFont="1" applyBorder="1" applyAlignment="1">
      <alignment vertical="center"/>
    </xf>
    <xf numFmtId="0" fontId="42" fillId="0" borderId="9" xfId="0" applyFont="1" applyBorder="1" applyAlignment="1">
      <alignment vertical="center"/>
    </xf>
    <xf numFmtId="14" fontId="42" fillId="0" borderId="1" xfId="0" applyNumberFormat="1" applyFont="1" applyBorder="1" applyAlignment="1">
      <alignment horizontal="right" vertical="center"/>
    </xf>
    <xf numFmtId="14" fontId="46" fillId="5" borderId="1" xfId="0" applyNumberFormat="1" applyFont="1" applyFill="1" applyBorder="1" applyAlignment="1">
      <alignment horizontal="right"/>
    </xf>
    <xf numFmtId="14" fontId="55" fillId="5" borderId="1" xfId="0" applyNumberFormat="1" applyFont="1" applyFill="1" applyBorder="1" applyAlignment="1">
      <alignment horizontal="right" vertical="center"/>
    </xf>
    <xf numFmtId="0" fontId="42" fillId="0" borderId="1" xfId="0" applyFont="1" applyBorder="1"/>
    <xf numFmtId="14" fontId="46" fillId="0" borderId="9" xfId="0" applyNumberFormat="1" applyFont="1" applyBorder="1"/>
    <xf numFmtId="14" fontId="46" fillId="0" borderId="9" xfId="0" applyNumberFormat="1" applyFont="1" applyBorder="1" applyAlignment="1">
      <alignment vertical="center"/>
    </xf>
    <xf numFmtId="0" fontId="46" fillId="0" borderId="9" xfId="0" applyFont="1" applyBorder="1"/>
    <xf numFmtId="0" fontId="46" fillId="0" borderId="9" xfId="0" applyFont="1" applyBorder="1" applyAlignment="1">
      <alignment vertical="center"/>
    </xf>
    <xf numFmtId="0" fontId="55" fillId="0" borderId="9" xfId="3" applyFont="1" applyBorder="1"/>
    <xf numFmtId="0" fontId="42" fillId="0" borderId="9" xfId="0" applyFont="1" applyBorder="1"/>
    <xf numFmtId="168" fontId="46" fillId="5" borderId="9" xfId="1" applyNumberFormat="1" applyFont="1" applyFill="1" applyBorder="1"/>
    <xf numFmtId="168" fontId="46" fillId="0" borderId="9" xfId="1" applyNumberFormat="1" applyFont="1" applyBorder="1"/>
    <xf numFmtId="178" fontId="55" fillId="0" borderId="9" xfId="3" applyNumberFormat="1" applyFont="1" applyBorder="1" applyAlignment="1">
      <alignment vertical="top" wrapText="1"/>
    </xf>
    <xf numFmtId="41" fontId="0" fillId="0" borderId="1" xfId="11" applyFont="1" applyBorder="1"/>
    <xf numFmtId="14" fontId="46" fillId="5" borderId="1" xfId="0" applyNumberFormat="1" applyFont="1" applyFill="1" applyBorder="1" applyAlignment="1">
      <alignment vertical="center"/>
    </xf>
    <xf numFmtId="173" fontId="41" fillId="5" borderId="1" xfId="0" applyNumberFormat="1" applyFont="1" applyFill="1" applyBorder="1" applyAlignment="1">
      <alignment vertical="center"/>
    </xf>
    <xf numFmtId="166" fontId="41" fillId="5" borderId="1" xfId="0" applyNumberFormat="1" applyFont="1" applyFill="1" applyBorder="1" applyAlignment="1">
      <alignment vertical="center"/>
    </xf>
    <xf numFmtId="168" fontId="58" fillId="5" borderId="1" xfId="1" applyNumberFormat="1" applyFont="1" applyFill="1" applyBorder="1"/>
    <xf numFmtId="14" fontId="73" fillId="0" borderId="1" xfId="3" applyNumberFormat="1" applyFont="1" applyBorder="1"/>
    <xf numFmtId="0" fontId="58" fillId="5" borderId="1" xfId="0" applyFont="1" applyFill="1" applyBorder="1" applyAlignment="1">
      <alignment horizontal="left"/>
    </xf>
    <xf numFmtId="172" fontId="41" fillId="5" borderId="1" xfId="0" applyNumberFormat="1" applyFont="1" applyFill="1" applyBorder="1"/>
    <xf numFmtId="41" fontId="41" fillId="0" borderId="1" xfId="11" applyFont="1" applyBorder="1"/>
    <xf numFmtId="0" fontId="41" fillId="3" borderId="1" xfId="0" applyFont="1" applyFill="1" applyBorder="1"/>
    <xf numFmtId="172" fontId="41" fillId="5" borderId="1" xfId="0" applyNumberFormat="1" applyFont="1" applyFill="1" applyBorder="1" applyAlignment="1">
      <alignment vertical="top"/>
    </xf>
    <xf numFmtId="172" fontId="58" fillId="5" borderId="1" xfId="0" applyNumberFormat="1" applyFont="1" applyFill="1" applyBorder="1"/>
    <xf numFmtId="0" fontId="58" fillId="0" borderId="1" xfId="0" applyFont="1" applyBorder="1" applyAlignment="1">
      <alignment horizontal="left"/>
    </xf>
    <xf numFmtId="14" fontId="73" fillId="5" borderId="1" xfId="3" applyNumberFormat="1" applyFont="1" applyFill="1" applyBorder="1"/>
    <xf numFmtId="172" fontId="58" fillId="0" borderId="1" xfId="0" applyNumberFormat="1" applyFont="1" applyBorder="1"/>
    <xf numFmtId="0" fontId="58" fillId="5" borderId="1" xfId="0" applyFont="1" applyFill="1" applyBorder="1" applyAlignment="1">
      <alignment horizontal="left" vertical="center"/>
    </xf>
    <xf numFmtId="0" fontId="58" fillId="0" borderId="1" xfId="0" applyFont="1" applyBorder="1" applyAlignment="1">
      <alignment horizontal="left" vertical="center"/>
    </xf>
    <xf numFmtId="0" fontId="41" fillId="5" borderId="0" xfId="0" applyFont="1" applyFill="1"/>
    <xf numFmtId="0" fontId="41" fillId="5" borderId="9" xfId="0" applyFont="1" applyFill="1" applyBorder="1"/>
    <xf numFmtId="168" fontId="41" fillId="5" borderId="0" xfId="1" applyNumberFormat="1" applyFont="1" applyFill="1" applyBorder="1"/>
    <xf numFmtId="168" fontId="58" fillId="5" borderId="9" xfId="1" applyNumberFormat="1" applyFont="1" applyFill="1" applyBorder="1"/>
    <xf numFmtId="168" fontId="58" fillId="0" borderId="9" xfId="1" applyNumberFormat="1" applyFont="1" applyFill="1" applyBorder="1"/>
    <xf numFmtId="41" fontId="41" fillId="0" borderId="0" xfId="11" applyFont="1"/>
    <xf numFmtId="4" fontId="0" fillId="0" borderId="0" xfId="0" applyNumberFormat="1"/>
    <xf numFmtId="166" fontId="25" fillId="8" borderId="13" xfId="0" applyNumberFormat="1" applyFont="1" applyFill="1" applyBorder="1" applyAlignment="1">
      <alignment horizontal="center"/>
    </xf>
    <xf numFmtId="174" fontId="46" fillId="5" borderId="2" xfId="3" applyNumberFormat="1" applyFont="1" applyFill="1" applyBorder="1" applyAlignment="1">
      <alignment horizontal="center" vertical="top" wrapText="1"/>
    </xf>
    <xf numFmtId="174" fontId="46" fillId="5" borderId="31" xfId="3" applyNumberFormat="1" applyFont="1" applyFill="1" applyBorder="1" applyAlignment="1">
      <alignment horizontal="center" vertical="top" wrapText="1"/>
    </xf>
    <xf numFmtId="174" fontId="46" fillId="5" borderId="28" xfId="3" applyNumberFormat="1" applyFont="1" applyFill="1" applyBorder="1" applyAlignment="1">
      <alignment horizontal="center" vertical="top" wrapText="1"/>
    </xf>
    <xf numFmtId="0" fontId="49" fillId="5" borderId="0" xfId="0" applyFont="1" applyFill="1" applyAlignment="1">
      <alignment horizontal="center"/>
    </xf>
    <xf numFmtId="0" fontId="67" fillId="11" borderId="24" xfId="0" applyFont="1" applyFill="1" applyBorder="1" applyAlignment="1">
      <alignment horizontal="center" vertical="center"/>
    </xf>
    <xf numFmtId="0" fontId="67" fillId="11" borderId="25" xfId="0" applyFont="1" applyFill="1" applyBorder="1" applyAlignment="1">
      <alignment horizontal="center" vertical="center"/>
    </xf>
    <xf numFmtId="0" fontId="67" fillId="11" borderId="26" xfId="0" applyFont="1" applyFill="1" applyBorder="1" applyAlignment="1">
      <alignment horizontal="center" vertical="center"/>
    </xf>
    <xf numFmtId="0" fontId="71" fillId="0" borderId="1" xfId="0" applyFont="1" applyBorder="1" applyAlignment="1">
      <alignment horizontal="center" vertical="center"/>
    </xf>
    <xf numFmtId="166" fontId="72" fillId="0" borderId="1" xfId="0" applyNumberFormat="1" applyFont="1" applyBorder="1" applyAlignment="1">
      <alignment horizontal="left" vertical="center"/>
    </xf>
    <xf numFmtId="49" fontId="73" fillId="0" borderId="1" xfId="0" applyNumberFormat="1" applyFont="1" applyBorder="1" applyAlignment="1">
      <alignment horizontal="left" vertical="center"/>
    </xf>
    <xf numFmtId="166" fontId="72" fillId="0" borderId="1" xfId="0" applyNumberFormat="1" applyFont="1" applyBorder="1" applyAlignment="1">
      <alignment horizontal="center" vertical="center" wrapText="1"/>
    </xf>
  </cellXfs>
  <cellStyles count="12">
    <cellStyle name="Comma 2" xfId="8"/>
    <cellStyle name="Excel Built-in Comma" xfId="4"/>
    <cellStyle name="Excel Built-in Normal" xfId="3"/>
    <cellStyle name="Milliers" xfId="1" builtinId="3"/>
    <cellStyle name="Milliers [0]" xfId="11" builtinId="6"/>
    <cellStyle name="Milliers 2" xfId="5"/>
    <cellStyle name="Milliers 3" xfId="9"/>
    <cellStyle name="Milliers 4" xfId="6"/>
    <cellStyle name="Milliers 4 2" xfId="10"/>
    <cellStyle name="Normal" xfId="0" builtinId="0"/>
    <cellStyle name="Normal 2" xfId="7"/>
    <cellStyle name="Normal_Total expenses by date" xfId="2"/>
  </cellStyles>
  <dxfs count="2"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</xdr:row>
      <xdr:rowOff>0</xdr:rowOff>
    </xdr:from>
    <xdr:to>
      <xdr:col>26</xdr:col>
      <xdr:colOff>10333</xdr:colOff>
      <xdr:row>53</xdr:row>
      <xdr:rowOff>129540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93A5630-C7BE-4A0C-85D7-F12120C35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8860" y="594360"/>
          <a:ext cx="7302673" cy="100584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54</xdr:row>
      <xdr:rowOff>0</xdr:rowOff>
    </xdr:from>
    <xdr:to>
      <xdr:col>26</xdr:col>
      <xdr:colOff>10333</xdr:colOff>
      <xdr:row>105</xdr:row>
      <xdr:rowOff>7620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19983A5-A008-42E0-9441-B65E8E56E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8860" y="10721340"/>
          <a:ext cx="7302673" cy="100584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16</xdr:col>
      <xdr:colOff>10333</xdr:colOff>
      <xdr:row>56</xdr:row>
      <xdr:rowOff>137160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CECBF96-13E6-4C3D-9B13-51D426122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9460" y="1196340"/>
          <a:ext cx="7302673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388620</xdr:colOff>
      <xdr:row>0</xdr:row>
      <xdr:rowOff>0</xdr:rowOff>
    </xdr:from>
    <xdr:to>
      <xdr:col>15</xdr:col>
      <xdr:colOff>526303</xdr:colOff>
      <xdr:row>57</xdr:row>
      <xdr:rowOff>68580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775E212-24B2-4AE1-8AE8-1B6288729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2580" y="0"/>
          <a:ext cx="6104143" cy="100584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ana Hajduchová" id="{98584D5A-8469-40CB-92DE-DDEA7199F951}" userId="05fcd02066e7ea79" providerId="Windows Liv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6118.167653472221" createdVersion="7" refreshedVersion="7" minRefreshableVersion="3" recordCount="41">
  <cacheSource type="worksheet">
    <worksheetSource ref="A1:E42" sheet="phone credit "/>
  </cacheSource>
  <cacheFields count="5">
    <cacheField name="Date+A1:E38" numFmtId="14">
      <sharedItems containsSemiMixedTypes="0" containsNonDate="0" containsDate="1" containsString="0" minDate="2026-03-02T00:00:00" maxDate="2026-03-25T00:00:00"/>
    </cacheField>
    <cacheField name="phone credit bought" numFmtId="0">
      <sharedItems containsString="0" containsBlank="1" containsNumber="1" containsInteger="1" minValue="16000" maxValue="65000"/>
    </cacheField>
    <cacheField name="distributed" numFmtId="0">
      <sharedItems containsString="0" containsBlank="1" containsNumber="1" containsInteger="1" minValue="2500" maxValue="10000"/>
    </cacheField>
    <cacheField name="balance" numFmtId="3">
      <sharedItems containsSemiMixedTypes="0" containsString="0" containsNumber="1" containsInteger="1" minValue="0" maxValue="65000"/>
    </cacheField>
    <cacheField name="name" numFmtId="0">
      <sharedItems containsBlank="1" count="10">
        <m/>
        <s v="DOVI"/>
        <s v="Parfaite"/>
        <s v="Crepin"/>
        <s v="T73"/>
        <s v="IT87"/>
        <s v="Donald-Romeo"/>
        <s v="Romain"/>
        <s v="P29"/>
        <s v="Evarist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er" refreshedDate="46118.196695023151" createdVersion="7" refreshedVersion="7" minRefreshableVersion="3" recordCount="115">
  <cacheSource type="worksheet">
    <worksheetSource ref="A1:J116" sheet="Cash journal   "/>
  </cacheSource>
  <cacheFields count="10">
    <cacheField name="Date" numFmtId="14">
      <sharedItems containsSemiMixedTypes="0" containsNonDate="0" containsDate="1" containsString="0" minDate="2026-03-01T00:00:00" maxDate="2026-04-01T00:00:00"/>
    </cacheField>
    <cacheField name="Details" numFmtId="0">
      <sharedItems/>
    </cacheField>
    <cacheField name="Type of expenses" numFmtId="0">
      <sharedItems containsBlank="1"/>
    </cacheField>
    <cacheField name="Department " numFmtId="0">
      <sharedItems containsBlank="1"/>
    </cacheField>
    <cacheField name="Spent " numFmtId="0">
      <sharedItems containsString="0" containsBlank="1" containsNumber="1" containsInteger="1" minValue="1200" maxValue="830000"/>
    </cacheField>
    <cacheField name="Received" numFmtId="0">
      <sharedItems containsString="0" containsBlank="1" containsNumber="1" containsInteger="1" minValue="30000" maxValue="2000000"/>
    </cacheField>
    <cacheField name="Balance" numFmtId="168">
      <sharedItems containsSemiMixedTypes="0" containsString="0" containsNumber="1" containsInteger="1" minValue="8544" maxValue="2518661"/>
    </cacheField>
    <cacheField name="Name" numFmtId="0">
      <sharedItems containsBlank="1" count="14">
        <m/>
        <s v="BCI"/>
        <s v="T73"/>
        <s v="IT87"/>
        <s v="Phone Credit"/>
        <s v="DOVI"/>
        <s v="Romain"/>
        <s v="Parfaite"/>
        <s v="P29"/>
        <s v="Evariste"/>
        <s v="Donald-Roméo"/>
        <s v="Crepin"/>
        <s v="Roderlin"/>
        <s v="Abraham"/>
      </sharedItems>
    </cacheField>
    <cacheField name="Receipt" numFmtId="0">
      <sharedItems containsBlank="1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User" refreshedDate="46120.749503472223" createdVersion="7" refreshedVersion="7" minRefreshableVersion="3" recordCount="755">
  <cacheSource type="worksheet">
    <worksheetSource ref="A1:O756" sheet="DATA "/>
  </cacheSource>
  <cacheFields count="15">
    <cacheField name="Date" numFmtId="14">
      <sharedItems containsNonDate="0" containsDate="1" containsString="0" containsBlank="1" minDate="2026-03-02T00:00:00" maxDate="2026-04-01T00:00:00"/>
    </cacheField>
    <cacheField name="Details" numFmtId="0">
      <sharedItems/>
    </cacheField>
    <cacheField name="Type of expenses" numFmtId="0">
      <sharedItems count="19">
        <s v="Transport local"/>
        <s v="Telephone"/>
        <s v="Personnel"/>
        <s v="Trust building"/>
        <s v="Transport Interurbain"/>
        <s v="Travel subsistence"/>
        <s v="Lawyer Fees"/>
        <s v="Rent &amp; Utilities"/>
        <s v="Services"/>
        <s v="Transfert fees"/>
        <s v="Office Materiels"/>
        <s v="Grant"/>
        <s v="Bank fees"/>
        <s v="Bonus to media officer"/>
        <s v="Internet"/>
        <s v="jail visit"/>
        <s v="Tranport local" u="1"/>
        <s v="Transport Inter Urbain" u="1"/>
        <s v="Transport Interubain" u="1"/>
      </sharedItems>
    </cacheField>
    <cacheField name="Department " numFmtId="0">
      <sharedItems containsBlank="1" count="6">
        <s v="Management"/>
        <s v="Legal"/>
        <s v="Office"/>
        <s v="Investigation"/>
        <s v="Media"/>
        <m/>
      </sharedItems>
    </cacheField>
    <cacheField name="Spent  in XAF" numFmtId="0">
      <sharedItems containsString="0" containsBlank="1" containsNumber="1" containsInteger="1" minValue="300" maxValue="1311000"/>
    </cacheField>
    <cacheField name="Spent in $" numFmtId="1">
      <sharedItems containsSemiMixedTypes="0" containsString="0" containsNumber="1" minValue="0" maxValue="2448.5907995741582"/>
    </cacheField>
    <cacheField name="Exchange Rate $" numFmtId="173">
      <sharedItems containsSemiMixedTypes="0" containsString="0" containsNumber="1" minValue="519.35093749999999" maxValue="535.41"/>
    </cacheField>
    <cacheField name="Name" numFmtId="0">
      <sharedItems count="13">
        <s v="DOVI"/>
        <s v="Crépin"/>
        <s v="Parfaite"/>
        <s v="T73"/>
        <s v="IT87"/>
        <s v="BCI"/>
        <s v="P29"/>
        <s v="Donald-Romeo"/>
        <s v="Evariste"/>
        <s v="Romain"/>
        <s v="Abraham"/>
        <s v="Roderlin"/>
        <s v="Donald-Roméo" u="1"/>
      </sharedItems>
    </cacheField>
    <cacheField name="Receipt" numFmtId="0">
      <sharedItems/>
    </cacheField>
    <cacheField name="Project" numFmtId="0">
      <sharedItems/>
    </cacheField>
    <cacheField name="Donor" numFmtId="0">
      <sharedItems/>
    </cacheField>
    <cacheField name="Country" numFmtId="0">
      <sharedItems/>
    </cacheField>
    <cacheField name="Received in XAF" numFmtId="0">
      <sharedItems containsString="0" containsBlank="1" containsNumber="1" containsInteger="1" minValue="32124589" maxValue="32124589"/>
    </cacheField>
    <cacheField name="Received in $" numFmtId="0">
      <sharedItems containsString="0" containsBlank="1" containsNumber="1" containsInteger="1" minValue="60000" maxValue="60000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Jana Hajduchová" refreshedDate="46125.708041550926" createdVersion="6" refreshedVersion="8" minRefreshableVersion="3" recordCount="928">
  <cacheSource type="worksheet">
    <worksheetSource ref="A1:O929" sheet="Global data "/>
  </cacheSource>
  <cacheFields count="16">
    <cacheField name="Date" numFmtId="14">
      <sharedItems containsSemiMixedTypes="0" containsNonDate="0" containsDate="1" containsString="0" minDate="2026-01-05T00:00:00" maxDate="2026-04-01T00:00:00" count="66">
        <d v="2026-01-05T00:00:00"/>
        <d v="2026-01-07T00:00:00"/>
        <d v="2026-01-08T00:00:00"/>
        <d v="2026-01-09T00:00:00"/>
        <d v="2026-01-12T00:00:00"/>
        <d v="2026-01-13T00:00:00"/>
        <d v="2026-01-14T00:00:00"/>
        <d v="2026-01-19T00:00:00"/>
        <d v="2026-01-20T00:00:00"/>
        <d v="2026-01-21T00:00:00"/>
        <d v="2026-01-22T00:00:00"/>
        <d v="2026-01-23T00:00:00"/>
        <d v="2026-01-26T00:00:00"/>
        <d v="2026-01-27T00:00:00"/>
        <d v="2026-01-28T00:00:00"/>
        <d v="2026-01-30T00:00:00"/>
        <d v="2026-02-02T00:00:00"/>
        <d v="2026-02-03T00:00:00"/>
        <d v="2026-02-04T00:00:00"/>
        <d v="2026-02-05T00:00:00"/>
        <d v="2026-02-06T00:00:00"/>
        <d v="2026-02-09T00:00:00"/>
        <d v="2026-02-10T00:00:00"/>
        <d v="2026-02-11T00:00:00"/>
        <d v="2026-02-12T00:00:00"/>
        <d v="2026-02-13T00:00:00"/>
        <d v="2026-02-16T00:00:00"/>
        <d v="2026-02-17T00:00:00"/>
        <d v="2026-02-18T00:00:00"/>
        <d v="2026-02-19T00:00:00"/>
        <d v="2026-02-20T00:00:00"/>
        <d v="2026-02-23T00:00:00"/>
        <d v="2026-02-24T00:00:00"/>
        <d v="2026-02-25T00:00:00"/>
        <d v="2026-02-26T00:00:00"/>
        <d v="2026-02-27T00:00:00"/>
        <d v="2026-03-02T00:00:00"/>
        <d v="2026-03-03T00:00:00"/>
        <d v="2026-03-04T00:00:00"/>
        <d v="2026-03-05T00:00:00"/>
        <d v="2026-03-06T00:00:00"/>
        <d v="2026-03-07T00:00:00"/>
        <d v="2026-03-08T00:00:00"/>
        <d v="2026-03-09T00:00:00"/>
        <d v="2026-03-10T00:00:00"/>
        <d v="2026-03-11T00:00:00"/>
        <d v="2026-03-12T00:00:00"/>
        <d v="2026-03-13T00:00:00"/>
        <d v="2026-03-14T00:00:00"/>
        <d v="2026-03-15T00:00:00"/>
        <d v="2026-03-16T00:00:00"/>
        <d v="2026-03-17T00:00:00"/>
        <d v="2026-03-18T00:00:00"/>
        <d v="2026-03-19T00:00:00"/>
        <d v="2026-03-20T00:00:00"/>
        <d v="2026-03-21T00:00:00"/>
        <d v="2026-03-22T00:00:00"/>
        <d v="2026-03-23T00:00:00"/>
        <d v="2026-03-24T00:00:00"/>
        <d v="2026-03-25T00:00:00"/>
        <d v="2026-03-26T00:00:00"/>
        <d v="2026-03-27T00:00:00"/>
        <d v="2026-03-28T00:00:00"/>
        <d v="2026-03-29T00:00:00"/>
        <d v="2026-03-30T00:00:00"/>
        <d v="2026-03-31T00:00:00"/>
      </sharedItems>
      <fieldGroup par="15" base="0">
        <rangePr groupBy="days" startDate="2026-01-05T00:00:00" endDate="2026-04-01T00:00:00"/>
        <groupItems count="368">
          <s v="&lt;05.01.2026"/>
          <s v="01.I"/>
          <s v="02.I"/>
          <s v="03.I"/>
          <s v="04.I"/>
          <s v="05.I"/>
          <s v="06.I"/>
          <s v="07.I"/>
          <s v="08.I"/>
          <s v="09.I"/>
          <s v="10.I"/>
          <s v="11.I"/>
          <s v="12.I"/>
          <s v="13.I"/>
          <s v="14.I"/>
          <s v="15.I"/>
          <s v="16.I"/>
          <s v="17.I"/>
          <s v="18.I"/>
          <s v="19.I"/>
          <s v="20.I"/>
          <s v="21.I"/>
          <s v="22.I"/>
          <s v="23.I"/>
          <s v="24.I"/>
          <s v="25.I"/>
          <s v="26.I"/>
          <s v="27.I"/>
          <s v="28.I"/>
          <s v="29.I"/>
          <s v="30.I"/>
          <s v="31.I"/>
          <s v="01.II"/>
          <s v="02.II"/>
          <s v="03.II"/>
          <s v="04.II"/>
          <s v="05.II"/>
          <s v="06.II"/>
          <s v="07.II"/>
          <s v="08.II"/>
          <s v="09.II"/>
          <s v="10.II"/>
          <s v="11.II"/>
          <s v="12.II"/>
          <s v="13.II"/>
          <s v="14.II"/>
          <s v="15.II"/>
          <s v="16.II"/>
          <s v="17.II"/>
          <s v="18.II"/>
          <s v="19.II"/>
          <s v="20.II"/>
          <s v="21.II"/>
          <s v="22.II"/>
          <s v="23.II"/>
          <s v="24.II"/>
          <s v="25.II"/>
          <s v="26.II"/>
          <s v="27.II"/>
          <s v="28.II"/>
          <s v="29.II"/>
          <s v="01.III"/>
          <s v="02.III"/>
          <s v="03.III"/>
          <s v="04.III"/>
          <s v="05.III"/>
          <s v="06.III"/>
          <s v="07.III"/>
          <s v="08.III"/>
          <s v="09.III"/>
          <s v="10.III"/>
          <s v="11.III"/>
          <s v="12.III"/>
          <s v="13.III"/>
          <s v="14.III"/>
          <s v="15.III"/>
          <s v="16.III"/>
          <s v="17.III"/>
          <s v="18.III"/>
          <s v="19.III"/>
          <s v="20.III"/>
          <s v="21.III"/>
          <s v="22.III"/>
          <s v="23.III"/>
          <s v="24.III"/>
          <s v="25.III"/>
          <s v="26.III"/>
          <s v="27.III"/>
          <s v="28.III"/>
          <s v="29.III"/>
          <s v="30.III"/>
          <s v="31.III"/>
          <s v="01.IV"/>
          <s v="02.IV"/>
          <s v="03.IV"/>
          <s v="04.IV"/>
          <s v="05.IV"/>
          <s v="06.IV"/>
          <s v="07.IV"/>
          <s v="08.IV"/>
          <s v="09.IV"/>
          <s v="10.IV"/>
          <s v="11.IV"/>
          <s v="12.IV"/>
          <s v="13.IV"/>
          <s v="14.IV"/>
          <s v="15.IV"/>
          <s v="16.IV"/>
          <s v="17.IV"/>
          <s v="18.IV"/>
          <s v="19.IV"/>
          <s v="20.IV"/>
          <s v="21.IV"/>
          <s v="22.IV"/>
          <s v="23.IV"/>
          <s v="24.IV"/>
          <s v="25.IV"/>
          <s v="26.IV"/>
          <s v="27.IV"/>
          <s v="28.IV"/>
          <s v="29.IV"/>
          <s v="30.IV"/>
          <s v="01.V"/>
          <s v="02.V"/>
          <s v="03.V"/>
          <s v="04.V"/>
          <s v="05.V"/>
          <s v="06.V"/>
          <s v="07.V"/>
          <s v="08.V"/>
          <s v="09.V"/>
          <s v="10.V"/>
          <s v="11.V"/>
          <s v="12.V"/>
          <s v="13.V"/>
          <s v="14.V"/>
          <s v="15.V"/>
          <s v="16.V"/>
          <s v="17.V"/>
          <s v="18.V"/>
          <s v="19.V"/>
          <s v="20.V"/>
          <s v="21.V"/>
          <s v="22.V"/>
          <s v="23.V"/>
          <s v="24.V"/>
          <s v="25.V"/>
          <s v="26.V"/>
          <s v="27.V"/>
          <s v="28.V"/>
          <s v="29.V"/>
          <s v="30.V"/>
          <s v="31.V"/>
          <s v="01.VI"/>
          <s v="02.VI"/>
          <s v="03.VI"/>
          <s v="04.VI"/>
          <s v="05.VI"/>
          <s v="06.VI"/>
          <s v="07.VI"/>
          <s v="08.VI"/>
          <s v="09.VI"/>
          <s v="10.VI"/>
          <s v="11.VI"/>
          <s v="12.VI"/>
          <s v="13.VI"/>
          <s v="14.VI"/>
          <s v="15.VI"/>
          <s v="16.VI"/>
          <s v="17.VI"/>
          <s v="18.VI"/>
          <s v="19.VI"/>
          <s v="20.VI"/>
          <s v="21.VI"/>
          <s v="22.VI"/>
          <s v="23.VI"/>
          <s v="24.VI"/>
          <s v="25.VI"/>
          <s v="26.VI"/>
          <s v="27.VI"/>
          <s v="28.VI"/>
          <s v="29.VI"/>
          <s v="30.VI"/>
          <s v="01.VII"/>
          <s v="02.VII"/>
          <s v="03.VII"/>
          <s v="04.VII"/>
          <s v="05.VII"/>
          <s v="06.VII"/>
          <s v="07.VII"/>
          <s v="08.VII"/>
          <s v="09.VII"/>
          <s v="10.VII"/>
          <s v="11.VII"/>
          <s v="12.VII"/>
          <s v="13.VII"/>
          <s v="14.VII"/>
          <s v="15.VII"/>
          <s v="16.VII"/>
          <s v="17.VII"/>
          <s v="18.VII"/>
          <s v="19.VII"/>
          <s v="20.VII"/>
          <s v="21.VII"/>
          <s v="22.VII"/>
          <s v="23.VII"/>
          <s v="24.VII"/>
          <s v="25.VII"/>
          <s v="26.VII"/>
          <s v="27.VII"/>
          <s v="28.VII"/>
          <s v="29.VII"/>
          <s v="30.VII"/>
          <s v="31.VII"/>
          <s v="01.VIII"/>
          <s v="02.VIII"/>
          <s v="03.VIII"/>
          <s v="04.VIII"/>
          <s v="05.VIII"/>
          <s v="06.VIII"/>
          <s v="07.VIII"/>
          <s v="08.VIII"/>
          <s v="09.VIII"/>
          <s v="10.VIII"/>
          <s v="11.VIII"/>
          <s v="12.VIII"/>
          <s v="13.VIII"/>
          <s v="14.VIII"/>
          <s v="15.VIII"/>
          <s v="16.VIII"/>
          <s v="17.VIII"/>
          <s v="18.VIII"/>
          <s v="19.VIII"/>
          <s v="20.VIII"/>
          <s v="21.VIII"/>
          <s v="22.VIII"/>
          <s v="23.VIII"/>
          <s v="24.VIII"/>
          <s v="25.VIII"/>
          <s v="26.VIII"/>
          <s v="27.VIII"/>
          <s v="28.VIII"/>
          <s v="29.VIII"/>
          <s v="30.VIII"/>
          <s v="31.VIII"/>
          <s v="01.IX"/>
          <s v="02.IX"/>
          <s v="03.IX"/>
          <s v="04.IX"/>
          <s v="05.IX"/>
          <s v="06.IX"/>
          <s v="07.IX"/>
          <s v="08.IX"/>
          <s v="09.IX"/>
          <s v="10.IX"/>
          <s v="11.IX"/>
          <s v="12.IX"/>
          <s v="13.IX"/>
          <s v="14.IX"/>
          <s v="15.IX"/>
          <s v="16.IX"/>
          <s v="17.IX"/>
          <s v="18.IX"/>
          <s v="19.IX"/>
          <s v="20.IX"/>
          <s v="21.IX"/>
          <s v="22.IX"/>
          <s v="23.IX"/>
          <s v="24.IX"/>
          <s v="25.IX"/>
          <s v="26.IX"/>
          <s v="27.IX"/>
          <s v="28.IX"/>
          <s v="29.IX"/>
          <s v="30.IX"/>
          <s v="01.X"/>
          <s v="02.X"/>
          <s v="03.X"/>
          <s v="04.X"/>
          <s v="05.X"/>
          <s v="06.X"/>
          <s v="07.X"/>
          <s v="08.X"/>
          <s v="09.X"/>
          <s v="10.X"/>
          <s v="11.X"/>
          <s v="12.X"/>
          <s v="13.X"/>
          <s v="14.X"/>
          <s v="15.X"/>
          <s v="16.X"/>
          <s v="17.X"/>
          <s v="18.X"/>
          <s v="19.X"/>
          <s v="20.X"/>
          <s v="21.X"/>
          <s v="22.X"/>
          <s v="23.X"/>
          <s v="24.X"/>
          <s v="25.X"/>
          <s v="26.X"/>
          <s v="27.X"/>
          <s v="28.X"/>
          <s v="29.X"/>
          <s v="30.X"/>
          <s v="31.X"/>
          <s v="01.XI"/>
          <s v="02.XI"/>
          <s v="03.XI"/>
          <s v="04.XI"/>
          <s v="05.XI"/>
          <s v="06.XI"/>
          <s v="07.XI"/>
          <s v="08.XI"/>
          <s v="09.XI"/>
          <s v="10.XI"/>
          <s v="11.XI"/>
          <s v="12.XI"/>
          <s v="13.XI"/>
          <s v="14.XI"/>
          <s v="15.XI"/>
          <s v="16.XI"/>
          <s v="17.XI"/>
          <s v="18.XI"/>
          <s v="19.XI"/>
          <s v="20.XI"/>
          <s v="21.XI"/>
          <s v="22.XI"/>
          <s v="23.XI"/>
          <s v="24.XI"/>
          <s v="25.XI"/>
          <s v="26.XI"/>
          <s v="27.XI"/>
          <s v="28.XI"/>
          <s v="29.XI"/>
          <s v="30.XI"/>
          <s v="01.XII"/>
          <s v="02.XII"/>
          <s v="03.XII"/>
          <s v="04.XII"/>
          <s v="05.XII"/>
          <s v="06.XII"/>
          <s v="07.XII"/>
          <s v="08.XII"/>
          <s v="09.XII"/>
          <s v="10.XII"/>
          <s v="11.XII"/>
          <s v="12.XII"/>
          <s v="13.XII"/>
          <s v="14.XII"/>
          <s v="15.XII"/>
          <s v="16.XII"/>
          <s v="17.XII"/>
          <s v="18.XII"/>
          <s v="19.XII"/>
          <s v="20.XII"/>
          <s v="21.XII"/>
          <s v="22.XII"/>
          <s v="23.XII"/>
          <s v="24.XII"/>
          <s v="25.XII"/>
          <s v="26.XII"/>
          <s v="27.XII"/>
          <s v="28.XII"/>
          <s v="29.XII"/>
          <s v="30.XII"/>
          <s v="31.XII"/>
          <s v="&gt;01.04.2026"/>
        </groupItems>
      </fieldGroup>
    </cacheField>
    <cacheField name="Details" numFmtId="0">
      <sharedItems/>
    </cacheField>
    <cacheField name="Type of expenses" numFmtId="0">
      <sharedItems/>
    </cacheField>
    <cacheField name="Department " numFmtId="0">
      <sharedItems containsBlank="1"/>
    </cacheField>
    <cacheField name="Spent  in XAF" numFmtId="0">
      <sharedItems containsString="0" containsBlank="1" containsNumber="1" containsInteger="1" minValue="300" maxValue="1311000"/>
    </cacheField>
    <cacheField name="Spent in $" numFmtId="0">
      <sharedItems containsSemiMixedTypes="0" containsString="0" containsNumber="1" minValue="0" maxValue="2460.9613713023914"/>
    </cacheField>
    <cacheField name="Exchange Rate $" numFmtId="173">
      <sharedItems containsSemiMixedTypes="0" containsString="0" containsNumber="1" minValue="519.35093749999999" maxValue="535.41"/>
    </cacheField>
    <cacheField name="Name" numFmtId="0">
      <sharedItems/>
    </cacheField>
    <cacheField name="Receipt" numFmtId="0">
      <sharedItems/>
    </cacheField>
    <cacheField name="Project" numFmtId="0">
      <sharedItems/>
    </cacheField>
    <cacheField name="Donor" numFmtId="0">
      <sharedItems count="4">
        <s v="AWI 2025"/>
        <s v="Dahan"/>
        <s v="Amis"/>
        <s v="Aspinall"/>
      </sharedItems>
    </cacheField>
    <cacheField name="Country" numFmtId="0">
      <sharedItems/>
    </cacheField>
    <cacheField name="Receved in XAF" numFmtId="0">
      <sharedItems containsString="0" containsBlank="1" containsNumber="1" containsInteger="1" minValue="1549972" maxValue="32124589"/>
    </cacheField>
    <cacheField name="Receved  $" numFmtId="0">
      <sharedItems containsString="0" containsBlank="1" containsNumber="1" containsInteger="1" minValue="3000" maxValue="60000"/>
    </cacheField>
    <cacheField name="Comments" numFmtId="0">
      <sharedItems containsNonDate="0" containsString="0" containsBlank="1"/>
    </cacheField>
    <cacheField name="Mois" numFmtId="0" databaseField="0">
      <fieldGroup base="0">
        <rangePr groupBy="months" startDate="2026-01-05T00:00:00" endDate="2026-04-01T00:00:00"/>
        <groupItems count="14">
          <s v="&lt;05.01.2026"/>
          <s v="I"/>
          <s v="II"/>
          <s v="III"/>
          <s v="IV"/>
          <s v="V"/>
          <s v="VI"/>
          <s v="VII"/>
          <s v="VIII"/>
          <s v="IX"/>
          <s v="X"/>
          <s v="XI"/>
          <s v="XII"/>
          <s v="&gt;01.04.2026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">
  <r>
    <d v="2026-03-02T00:00:00"/>
    <n v="37500"/>
    <m/>
    <n v="37500"/>
    <x v="0"/>
  </r>
  <r>
    <d v="2026-03-02T00:00:00"/>
    <m/>
    <n v="10000"/>
    <n v="27500"/>
    <x v="1"/>
  </r>
  <r>
    <d v="2026-03-02T00:00:00"/>
    <m/>
    <n v="5000"/>
    <n v="22500"/>
    <x v="2"/>
  </r>
  <r>
    <d v="2026-03-02T00:00:00"/>
    <m/>
    <n v="7500"/>
    <n v="15000"/>
    <x v="3"/>
  </r>
  <r>
    <d v="2026-03-02T00:00:00"/>
    <m/>
    <n v="7500"/>
    <n v="7500"/>
    <x v="4"/>
  </r>
  <r>
    <d v="2026-03-02T00:00:00"/>
    <m/>
    <n v="7500"/>
    <n v="0"/>
    <x v="5"/>
  </r>
  <r>
    <d v="2026-03-04T00:00:00"/>
    <n v="16000"/>
    <m/>
    <n v="16000"/>
    <x v="0"/>
  </r>
  <r>
    <d v="2026-03-04T00:00:00"/>
    <m/>
    <n v="3000"/>
    <n v="13000"/>
    <x v="6"/>
  </r>
  <r>
    <d v="2026-03-04T00:00:00"/>
    <m/>
    <n v="2500"/>
    <n v="10500"/>
    <x v="7"/>
  </r>
  <r>
    <d v="2026-03-04T00:00:00"/>
    <m/>
    <n v="7500"/>
    <n v="3000"/>
    <x v="8"/>
  </r>
  <r>
    <d v="2026-03-04T00:00:00"/>
    <m/>
    <n v="3000"/>
    <n v="0"/>
    <x v="9"/>
  </r>
  <r>
    <d v="2026-03-10T00:00:00"/>
    <n v="65000"/>
    <m/>
    <n v="65000"/>
    <x v="0"/>
  </r>
  <r>
    <d v="2026-03-10T00:00:00"/>
    <m/>
    <n v="10000"/>
    <n v="55000"/>
    <x v="1"/>
  </r>
  <r>
    <d v="2026-03-10T00:00:00"/>
    <m/>
    <n v="5000"/>
    <n v="50000"/>
    <x v="2"/>
  </r>
  <r>
    <d v="2026-03-10T00:00:00"/>
    <m/>
    <n v="7500"/>
    <n v="42500"/>
    <x v="3"/>
  </r>
  <r>
    <d v="2026-03-10T00:00:00"/>
    <m/>
    <n v="7500"/>
    <n v="35000"/>
    <x v="6"/>
  </r>
  <r>
    <d v="2026-03-10T00:00:00"/>
    <m/>
    <n v="5000"/>
    <n v="30000"/>
    <x v="7"/>
  </r>
  <r>
    <d v="2026-03-10T00:00:00"/>
    <m/>
    <n v="7500"/>
    <n v="22500"/>
    <x v="9"/>
  </r>
  <r>
    <d v="2026-03-10T00:00:00"/>
    <m/>
    <n v="7500"/>
    <n v="15000"/>
    <x v="8"/>
  </r>
  <r>
    <d v="2026-03-10T00:00:00"/>
    <m/>
    <n v="7500"/>
    <n v="7500"/>
    <x v="4"/>
  </r>
  <r>
    <d v="2026-03-10T00:00:00"/>
    <m/>
    <n v="7500"/>
    <n v="0"/>
    <x v="5"/>
  </r>
  <r>
    <d v="2026-03-18T00:00:00"/>
    <n v="65000"/>
    <m/>
    <n v="65000"/>
    <x v="0"/>
  </r>
  <r>
    <d v="2026-03-18T00:00:00"/>
    <m/>
    <n v="10000"/>
    <n v="55000"/>
    <x v="1"/>
  </r>
  <r>
    <d v="2026-03-18T00:00:00"/>
    <m/>
    <n v="5000"/>
    <n v="50000"/>
    <x v="2"/>
  </r>
  <r>
    <d v="2026-03-18T00:00:00"/>
    <m/>
    <n v="7500"/>
    <n v="42500"/>
    <x v="3"/>
  </r>
  <r>
    <d v="2026-03-18T00:00:00"/>
    <m/>
    <n v="7500"/>
    <n v="35000"/>
    <x v="6"/>
  </r>
  <r>
    <d v="2026-03-18T00:00:00"/>
    <m/>
    <n v="5000"/>
    <n v="30000"/>
    <x v="7"/>
  </r>
  <r>
    <d v="2026-03-18T00:00:00"/>
    <m/>
    <n v="7500"/>
    <n v="22500"/>
    <x v="9"/>
  </r>
  <r>
    <d v="2026-03-18T00:00:00"/>
    <m/>
    <n v="7500"/>
    <n v="15000"/>
    <x v="8"/>
  </r>
  <r>
    <d v="2026-03-18T00:00:00"/>
    <m/>
    <n v="7500"/>
    <n v="7500"/>
    <x v="4"/>
  </r>
  <r>
    <d v="2026-03-18T00:00:00"/>
    <m/>
    <n v="7500"/>
    <n v="0"/>
    <x v="5"/>
  </r>
  <r>
    <d v="2026-03-24T00:00:00"/>
    <n v="65000"/>
    <m/>
    <n v="65000"/>
    <x v="0"/>
  </r>
  <r>
    <d v="2026-03-24T00:00:00"/>
    <m/>
    <n v="10000"/>
    <n v="55000"/>
    <x v="1"/>
  </r>
  <r>
    <d v="2026-03-24T00:00:00"/>
    <m/>
    <n v="5000"/>
    <n v="50000"/>
    <x v="2"/>
  </r>
  <r>
    <d v="2026-03-24T00:00:00"/>
    <m/>
    <n v="7500"/>
    <n v="42500"/>
    <x v="3"/>
  </r>
  <r>
    <d v="2026-03-24T00:00:00"/>
    <m/>
    <n v="7500"/>
    <n v="35000"/>
    <x v="6"/>
  </r>
  <r>
    <d v="2026-03-24T00:00:00"/>
    <m/>
    <n v="5000"/>
    <n v="30000"/>
    <x v="7"/>
  </r>
  <r>
    <d v="2026-03-24T00:00:00"/>
    <m/>
    <n v="7500"/>
    <n v="22500"/>
    <x v="9"/>
  </r>
  <r>
    <d v="2026-03-24T00:00:00"/>
    <m/>
    <n v="7500"/>
    <n v="15000"/>
    <x v="8"/>
  </r>
  <r>
    <d v="2026-03-24T00:00:00"/>
    <m/>
    <n v="7500"/>
    <n v="7500"/>
    <x v="4"/>
  </r>
  <r>
    <d v="2026-03-24T00:00:00"/>
    <m/>
    <n v="7500"/>
    <n v="0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">
  <r>
    <d v="2026-03-01T00:00:00"/>
    <s v="Report au 01/03/2026"/>
    <m/>
    <m/>
    <m/>
    <m/>
    <n v="16561"/>
    <x v="0"/>
    <m/>
    <m/>
  </r>
  <r>
    <d v="2026-03-02T00:00:00"/>
    <s v="Retrait espèces/36553384"/>
    <s v="Versement"/>
    <m/>
    <m/>
    <n v="790000"/>
    <n v="806561"/>
    <x v="1"/>
    <s v="CA-M-V2"/>
    <m/>
  </r>
  <r>
    <d v="2026-03-02T00:00:00"/>
    <s v="T73"/>
    <s v="Versement"/>
    <m/>
    <n v="75000"/>
    <m/>
    <n v="731561"/>
    <x v="2"/>
    <s v="CA-M-V3"/>
    <m/>
  </r>
  <r>
    <d v="2026-03-02T00:00:00"/>
    <s v="IT87"/>
    <s v="Versement"/>
    <m/>
    <n v="80000"/>
    <m/>
    <n v="651561"/>
    <x v="3"/>
    <s v="CA-M-V4"/>
    <m/>
  </r>
  <r>
    <d v="2026-03-02T00:00:00"/>
    <s v="Achat credit  teléphonique MTN  PALF"/>
    <s v="Telephone"/>
    <s v="Office"/>
    <n v="37500"/>
    <m/>
    <n v="614061"/>
    <x v="4"/>
    <s v="Oui"/>
    <m/>
  </r>
  <r>
    <d v="2026-03-02T00:00:00"/>
    <s v="DOVI"/>
    <s v="Versement"/>
    <m/>
    <n v="250000"/>
    <m/>
    <n v="364061"/>
    <x v="5"/>
    <s v="CA-M-V5"/>
    <m/>
  </r>
  <r>
    <d v="2026-03-02T00:00:00"/>
    <s v="IT87"/>
    <s v="Versement"/>
    <m/>
    <n v="15000"/>
    <m/>
    <n v="349061"/>
    <x v="3"/>
    <s v="CA-M-V6"/>
    <m/>
  </r>
  <r>
    <d v="2026-03-04T00:00:00"/>
    <s v="T73"/>
    <s v="Versement"/>
    <m/>
    <n v="71000"/>
    <m/>
    <n v="278061"/>
    <x v="2"/>
    <s v="CA-M-V7"/>
    <m/>
  </r>
  <r>
    <d v="2026-03-04T00:00:00"/>
    <s v="IT87"/>
    <s v="Versement"/>
    <m/>
    <n v="75000"/>
    <m/>
    <n v="203061"/>
    <x v="3"/>
    <s v="CA-M-V8"/>
    <m/>
  </r>
  <r>
    <d v="2026-03-04T00:00:00"/>
    <s v="Frais de tansfert d'argent  à T73  et IT87 par cf"/>
    <s v="Transfert fees"/>
    <s v="Office"/>
    <n v="2920"/>
    <m/>
    <n v="200141"/>
    <x v="6"/>
    <s v="CA-M-R1"/>
    <m/>
  </r>
  <r>
    <d v="2026-03-04T00:00:00"/>
    <s v="Règlement facture d'eau du mois de Janvier et Février 2026 bureau PALF"/>
    <s v="Rent &amp; Utilities"/>
    <s v="Office"/>
    <n v="12750"/>
    <m/>
    <n v="187391"/>
    <x v="7"/>
    <s v="CA-M-R2"/>
    <m/>
  </r>
  <r>
    <d v="2026-03-04T00:00:00"/>
    <s v="Parfaite"/>
    <s v="Versement"/>
    <m/>
    <n v="25000"/>
    <m/>
    <n v="162391"/>
    <x v="7"/>
    <s v="CA-M-V9"/>
    <m/>
  </r>
  <r>
    <d v="2026-03-04T00:00:00"/>
    <s v="P29"/>
    <s v="Versement"/>
    <m/>
    <n v="30000"/>
    <m/>
    <n v="132391"/>
    <x v="8"/>
    <s v="CA-M-V10"/>
    <m/>
  </r>
  <r>
    <d v="2026-03-04T00:00:00"/>
    <s v="Achat credit  teléphonique MTN  PALF"/>
    <s v="Telephone"/>
    <s v="Office"/>
    <n v="16000"/>
    <m/>
    <n v="116391"/>
    <x v="4"/>
    <s v="Oui"/>
    <m/>
  </r>
  <r>
    <d v="2026-03-05T00:00:00"/>
    <s v="DOVI"/>
    <s v="Versement"/>
    <m/>
    <n v="25000"/>
    <m/>
    <n v="91391"/>
    <x v="5"/>
    <s v="CA-M-V11"/>
    <m/>
  </r>
  <r>
    <d v="2026-03-09T00:00:00"/>
    <s v="Retrait espèces/36553384"/>
    <s v="Versement"/>
    <m/>
    <m/>
    <n v="2000000"/>
    <n v="2091391"/>
    <x v="1"/>
    <s v="CA-M-V12"/>
    <m/>
  </r>
  <r>
    <d v="2026-03-09T00:00:00"/>
    <s v="P29"/>
    <s v="Versement"/>
    <m/>
    <n v="110000"/>
    <m/>
    <n v="1981391"/>
    <x v="8"/>
    <s v="CA-M-V13"/>
    <m/>
  </r>
  <r>
    <d v="2026-03-09T00:00:00"/>
    <s v="IT87"/>
    <s v="Versement"/>
    <m/>
    <n v="110000"/>
    <m/>
    <n v="1871391"/>
    <x v="3"/>
    <s v="CA-M-V14"/>
    <m/>
  </r>
  <r>
    <d v="2026-03-09T00:00:00"/>
    <s v="T73"/>
    <s v="Versement"/>
    <m/>
    <n v="110000"/>
    <m/>
    <n v="1761391"/>
    <x v="2"/>
    <s v="CA-M-V15"/>
    <m/>
  </r>
  <r>
    <d v="2026-03-09T00:00:00"/>
    <s v="T73"/>
    <s v="Versement"/>
    <m/>
    <m/>
    <n v="30000"/>
    <n v="1791391"/>
    <x v="2"/>
    <s v="CA-M-V16"/>
    <m/>
  </r>
  <r>
    <d v="2026-03-09T00:00:00"/>
    <s v="Achat carburant groupe electrogène Bureau "/>
    <s v="Office Materiels"/>
    <s v="Office"/>
    <n v="62500"/>
    <m/>
    <n v="1728891"/>
    <x v="6"/>
    <s v="CA-M-R3"/>
    <m/>
  </r>
  <r>
    <d v="2026-03-09T00:00:00"/>
    <s v="Paiement prime de fin d'année 2025/ Evariste"/>
    <s v="Personnel"/>
    <s v="Média"/>
    <n v="132280"/>
    <m/>
    <n v="1596611"/>
    <x v="9"/>
    <s v="CA-M-D1"/>
    <m/>
  </r>
  <r>
    <d v="2026-03-09T00:00:00"/>
    <s v="Paiement prime de fin d'année 2025/ Donald-Romeo"/>
    <s v="Personnel"/>
    <s v="Legal"/>
    <n v="127070"/>
    <m/>
    <n v="1469541"/>
    <x v="10"/>
    <s v="CA-M-D2"/>
    <m/>
  </r>
  <r>
    <d v="2026-03-09T00:00:00"/>
    <s v="Paiement prime de fin d'année 2025/ Crépin"/>
    <s v="Personnel"/>
    <s v="Legal"/>
    <n v="154370"/>
    <m/>
    <n v="1315171"/>
    <x v="11"/>
    <s v="CA-M-D3"/>
    <m/>
  </r>
  <r>
    <d v="2026-03-09T00:00:00"/>
    <s v="Paiement prime de fin d'année 2025/Roderlin"/>
    <s v="Personnel"/>
    <s v="Legal"/>
    <n v="127070"/>
    <m/>
    <n v="1188101"/>
    <x v="12"/>
    <s v="CA-M-D4"/>
    <m/>
  </r>
  <r>
    <d v="2026-03-09T00:00:00"/>
    <s v="Paiement prime de fin d'année 2025/ Abraham"/>
    <s v="Personnel"/>
    <s v="Legal"/>
    <n v="127070"/>
    <m/>
    <n v="1061031"/>
    <x v="13"/>
    <s v="CA-M-D5"/>
    <m/>
  </r>
  <r>
    <d v="2026-03-09T00:00:00"/>
    <s v="Paiement prime de fin d'année 2025/ Pafaite"/>
    <s v="Personnel"/>
    <s v="Office "/>
    <n v="68800"/>
    <m/>
    <n v="992231"/>
    <x v="7"/>
    <s v="CA-M-D6"/>
    <m/>
  </r>
  <r>
    <d v="2026-03-10T00:00:00"/>
    <s v="Achat credit  teléphonique MTN/PALF/Du 10 au 17/03/2026 "/>
    <s v="Telephone"/>
    <s v="Office"/>
    <n v="65000"/>
    <m/>
    <n v="927231"/>
    <x v="4"/>
    <s v="Oui"/>
    <m/>
  </r>
  <r>
    <d v="2026-03-11T00:00:00"/>
    <s v="P29"/>
    <s v="Versement"/>
    <m/>
    <n v="103000"/>
    <m/>
    <n v="824231"/>
    <x v="8"/>
    <s v="CA-M-V17"/>
    <m/>
  </r>
  <r>
    <d v="2026-03-11T00:00:00"/>
    <s v="IT87"/>
    <s v="Versement"/>
    <m/>
    <n v="103000"/>
    <m/>
    <n v="721231"/>
    <x v="3"/>
    <s v="CA-M-V18"/>
    <m/>
  </r>
  <r>
    <d v="2026-03-11T00:00:00"/>
    <s v="Frais de tansfert d'argent  à P29, et IT87 par cf"/>
    <s v="Transfert fees"/>
    <s v="Office"/>
    <n v="6180"/>
    <m/>
    <n v="715051"/>
    <x v="6"/>
    <s v="CA-M-R4"/>
    <m/>
  </r>
  <r>
    <d v="2026-03-11T00:00:00"/>
    <s v="Reglement prestation de nettoyage  PALF du mois de Février 2026"/>
    <s v="Services"/>
    <s v="Office"/>
    <n v="80000"/>
    <m/>
    <n v="635051"/>
    <x v="7"/>
    <s v="CA-M-R5"/>
    <m/>
  </r>
  <r>
    <d v="2026-03-12T00:00:00"/>
    <s v="T73"/>
    <s v="Versement"/>
    <m/>
    <n v="113000"/>
    <m/>
    <n v="522051"/>
    <x v="2"/>
    <s v="CA-M-V19"/>
    <m/>
  </r>
  <r>
    <d v="2026-03-12T00:00:00"/>
    <s v="Frais de tansfert d'argent  à T73 par cf"/>
    <s v="Transfert fees"/>
    <s v="Office"/>
    <n v="3390"/>
    <m/>
    <n v="518661"/>
    <x v="6"/>
    <s v="CA-M-R6"/>
    <m/>
  </r>
  <r>
    <d v="2026-03-12T00:00:00"/>
    <s v="Retrait espèces/36553384"/>
    <s v="Versement"/>
    <m/>
    <m/>
    <n v="2000000"/>
    <n v="2518661"/>
    <x v="1"/>
    <s v="CA-M-V20"/>
    <m/>
  </r>
  <r>
    <d v="2026-03-12T00:00:00"/>
    <s v="DOVI"/>
    <s v="Versement"/>
    <m/>
    <n v="830000"/>
    <m/>
    <n v="1688661"/>
    <x v="5"/>
    <s v="CA-M-V21"/>
    <m/>
  </r>
  <r>
    <d v="2026-03-12T00:00:00"/>
    <s v="Achat de 10 bonbonne d'eau mineral 10 LITRES/Bureau"/>
    <s v="Office Materiels"/>
    <s v="Office"/>
    <n v="24000"/>
    <m/>
    <n v="1664661"/>
    <x v="6"/>
    <s v="CA-M-R7"/>
    <m/>
  </r>
  <r>
    <d v="2026-03-13T00:00:00"/>
    <s v="Bonus media portant sur le bilan des activités PALF de l'année 2025 pieces presse Internet (https://www.panoramik-actu.com)"/>
    <s v="Bonus to media officer"/>
    <s v="Media"/>
    <n v="6000"/>
    <m/>
    <n v="1658661"/>
    <x v="9"/>
    <s v="CA-M-D7"/>
    <m/>
  </r>
  <r>
    <d v="2026-03-13T00:00:00"/>
    <s v="Bonus media portant sur le bilan des activités PALF de l'année 2025 pieces presse Internet(https://www.tribune-eco.cg)"/>
    <s v="Bonus to media officer"/>
    <s v="Media"/>
    <n v="6000"/>
    <m/>
    <n v="1652661"/>
    <x v="9"/>
    <s v="CA-M-D7"/>
    <m/>
  </r>
  <r>
    <d v="2026-03-13T00:00:00"/>
    <s v="Bonus media portant sur le bilan des activités PALF de l'année 2025 pieces presse Internet(https://www.groupecongomedias.com)"/>
    <s v="Bonus to media officer"/>
    <s v="Media"/>
    <n v="6000"/>
    <m/>
    <n v="1646661"/>
    <x v="9"/>
    <s v="CA-M-D7"/>
    <m/>
  </r>
  <r>
    <d v="2026-03-13T00:00:00"/>
    <s v="Bonus media portant sur le bilan des activités PALF de l'année 2025 pieces presse Internet (https://www.labreveonline.com)"/>
    <s v="Bonus to media officer"/>
    <s v="Media"/>
    <n v="6000"/>
    <m/>
    <n v="1640661"/>
    <x v="9"/>
    <s v="CA-M-D7"/>
    <m/>
  </r>
  <r>
    <d v="2026-03-13T00:00:00"/>
    <s v="Bonus media portant sur le bilan des activités PALF de l'année 2025 pieces presse Internet (https://www.adiac-congo.com)"/>
    <s v="Bonus to media officer"/>
    <s v="Media"/>
    <n v="6000"/>
    <m/>
    <n v="1634661"/>
    <x v="9"/>
    <s v="CA-M-D7"/>
    <m/>
  </r>
  <r>
    <d v="2026-03-13T00:00:00"/>
    <s v="Bonus media portant sur le bilan des activités PALF de l'année 2025 pieces presse Internet (https://www.lasemaineafricaine.info)"/>
    <s v="Bonus to media officer"/>
    <s v="Media"/>
    <n v="6000"/>
    <m/>
    <n v="1628661"/>
    <x v="9"/>
    <s v="CA-M-D7"/>
    <m/>
  </r>
  <r>
    <d v="2026-03-13T00:00:00"/>
    <s v="Bonus media portant sur le bilan des activités PALF de l'année 2025 pieces presse Internet (https://www.matinlibre.cg)"/>
    <s v="Bonus to media officer"/>
    <s v="Media"/>
    <n v="6000"/>
    <m/>
    <n v="1622661"/>
    <x v="9"/>
    <s v="CA-M-D7"/>
    <m/>
  </r>
  <r>
    <d v="2026-03-13T00:00:00"/>
    <s v="Bonus media portant sur le bilan des activités PALF de l'année 2025 pieces presse Internet (https://www.firstmediac.com)"/>
    <s v="Bonus to media officer"/>
    <s v="Media"/>
    <n v="6000"/>
    <m/>
    <n v="1616661"/>
    <x v="9"/>
    <s v="CA-M-D7"/>
    <m/>
  </r>
  <r>
    <d v="2026-03-13T00:00:00"/>
    <s v="Bonus media portant sur le bilan des activités PALF de l'année 2025 pieces presse Internet (https://www.journaldebrazza.com)"/>
    <s v="Bonus to media officer"/>
    <s v="Media"/>
    <n v="6000"/>
    <m/>
    <n v="1610661"/>
    <x v="9"/>
    <s v="CA-M-D7"/>
    <m/>
  </r>
  <r>
    <d v="2026-03-13T00:00:00"/>
    <s v="Bonus media portant sur le bilan des activités PALF de l'année 2025 pieces presse Internet (https://vmmedias.info)"/>
    <s v="Bonus to media officer"/>
    <s v="Media"/>
    <n v="6000"/>
    <m/>
    <n v="1604661"/>
    <x v="9"/>
    <s v="CA-M-D7"/>
    <m/>
  </r>
  <r>
    <d v="2026-03-13T00:00:00"/>
    <s v="Bonus media portant sur le bilan des activités PALF de l'année 2025 pieces presse Internet (https://aci.cg)"/>
    <s v="Bonus to media officer"/>
    <s v="Media"/>
    <n v="6000"/>
    <m/>
    <n v="1598661"/>
    <x v="9"/>
    <s v="CA-M-D7"/>
    <m/>
  </r>
  <r>
    <d v="2026-03-13T00:00:00"/>
    <s v="Bonus media portant sur le bilan des activités PALF de l'année 2025 pieces presse Internet (https://lesechos-congobrazza.com/)"/>
    <s v="Bonus to media officer"/>
    <s v="Media"/>
    <n v="6000"/>
    <m/>
    <n v="1592661"/>
    <x v="9"/>
    <s v="CA-M-D7"/>
    <m/>
  </r>
  <r>
    <d v="2026-03-13T00:00:00"/>
    <s v="Bonus media portant sur le bilan des activités PALF de l'année 2025 pieces presse Internet (https://opinionpublique.cg)"/>
    <s v="Bonus to media officer"/>
    <s v="Media"/>
    <n v="6000"/>
    <m/>
    <n v="1586661"/>
    <x v="9"/>
    <s v="CA-M-D7"/>
    <m/>
  </r>
  <r>
    <d v="2026-03-13T00:00:00"/>
    <s v="Bonus media portant sur le bilan des activités PALF de l'année 2025 pieces presse Internet (https://www.lhorizonafricain.com)"/>
    <s v="Bonus to media officer"/>
    <s v="Media"/>
    <n v="6000"/>
    <m/>
    <n v="1580661"/>
    <x v="9"/>
    <s v="CA-M-D7"/>
    <m/>
  </r>
  <r>
    <d v="2026-03-13T00:00:00"/>
    <s v="Bonus media portant sur le bilan des activités PALF de l'année 2025 pieces presse papier (les depêches de brazzaville)"/>
    <s v="Bonus to media officer"/>
    <s v="Media"/>
    <n v="10000"/>
    <m/>
    <n v="1570661"/>
    <x v="9"/>
    <s v="CA-M-D8"/>
    <m/>
  </r>
  <r>
    <d v="2026-03-13T00:00:00"/>
    <s v="Bonus media portant sur le bilan des activités PALF de l'année 2025 pieces presse papier( la Semaine Africaine)"/>
    <s v="Bonus to media officer"/>
    <s v="Media"/>
    <n v="10000"/>
    <m/>
    <n v="1560661"/>
    <x v="9"/>
    <s v="CA-M-D8"/>
    <m/>
  </r>
  <r>
    <d v="2026-03-13T00:00:00"/>
    <s v="Bonus media portant sur le bilan des activités PALF de l'année 2025 pieces presse papier  l'horizion africain"/>
    <s v="Bonus to media officer"/>
    <s v="Media"/>
    <n v="10000"/>
    <m/>
    <n v="1550661"/>
    <x v="9"/>
    <s v="CA-M-D8"/>
    <m/>
  </r>
  <r>
    <d v="2026-03-13T00:00:00"/>
    <s v="Bonus media portant sur le bilan des activités PALF de l'année 2025 pieces presse papier l'Agence Congolaise de l'Information"/>
    <s v="Bonus to media officer"/>
    <s v="Media"/>
    <n v="10000"/>
    <m/>
    <n v="1540661"/>
    <x v="9"/>
    <s v="CA-M-D8"/>
    <m/>
  </r>
  <r>
    <d v="2026-03-13T00:00:00"/>
    <s v="Bonus media portant sur le bilan des activités PALF de l'année 2025 presse Radio citoyenne des jeunes"/>
    <s v="Bonus to media officer"/>
    <s v="Media"/>
    <n v="6000"/>
    <m/>
    <n v="1534661"/>
    <x v="9"/>
    <s v="CA-M-D9"/>
    <m/>
  </r>
  <r>
    <d v="2026-03-13T00:00:00"/>
    <s v="Bonus media portant sur le bilan des activités PALF de l'année 2025 presse Radio Liberté ( 03 pièces: français, Kituba, et Lingala"/>
    <s v="Bonus to media officer"/>
    <s v="Media"/>
    <n v="18000"/>
    <m/>
    <n v="1516661"/>
    <x v="9"/>
    <s v="CA-M-D9"/>
    <m/>
  </r>
  <r>
    <d v="2026-03-17T00:00:00"/>
    <s v=" Frais de prestation de nettoyage jardin PALF Février 2026"/>
    <s v="Services"/>
    <s v="Office"/>
    <n v="40000"/>
    <m/>
    <n v="1476661"/>
    <x v="7"/>
    <s v="CA-M-R8"/>
    <m/>
  </r>
  <r>
    <d v="2026-03-17T00:00:00"/>
    <s v="Paiement assurance individuel accident corporel/DOVI"/>
    <s v="Personnel"/>
    <s v="Management"/>
    <n v="80500"/>
    <m/>
    <n v="1396161"/>
    <x v="5"/>
    <s v="CA-M-R9"/>
    <m/>
  </r>
  <r>
    <d v="2026-03-17T00:00:00"/>
    <s v="Paiement assurance Assistance Evacuation/DOVI"/>
    <s v="Personnel"/>
    <s v="Management"/>
    <n v="129464"/>
    <m/>
    <n v="1266697"/>
    <x v="5"/>
    <s v="CA-M-R10"/>
    <m/>
  </r>
  <r>
    <d v="2026-03-17T00:00:00"/>
    <s v="Réglement facture électricité periode Janvier et Février 2026/bureau PALF"/>
    <s v="Rent &amp; Utilities"/>
    <s v="Office"/>
    <n v="40613"/>
    <m/>
    <n v="1226084"/>
    <x v="7"/>
    <s v="CA-M-R11"/>
    <m/>
  </r>
  <r>
    <d v="2026-03-18T00:00:00"/>
    <s v="Reglement facture internet periode du 18/03 au 18/04/2026 bureau PALF"/>
    <s v="Internet"/>
    <s v="Office"/>
    <n v="45050"/>
    <m/>
    <n v="1181034"/>
    <x v="7"/>
    <s v="CA-M-R12"/>
    <m/>
  </r>
  <r>
    <d v="2026-03-18T00:00:00"/>
    <s v="T73"/>
    <s v="Versement"/>
    <m/>
    <n v="105000"/>
    <m/>
    <n v="1076034"/>
    <x v="2"/>
    <s v="CA-M-V22"/>
    <m/>
  </r>
  <r>
    <d v="2026-03-18T00:00:00"/>
    <s v="Frais de tansfert d'argent  à T73 par cf"/>
    <s v="Transfert fees"/>
    <s v="Office"/>
    <n v="3150"/>
    <m/>
    <n v="1072884"/>
    <x v="7"/>
    <s v="CA-M-R13"/>
    <m/>
  </r>
  <r>
    <d v="2026-03-18T00:00:00"/>
    <s v="Achat credit  teléphonique MTN/PALF/Du 18 au 24/03/2026 "/>
    <s v="Telephone"/>
    <s v="Office"/>
    <n v="65000"/>
    <m/>
    <n v="1007884"/>
    <x v="4"/>
    <s v="Oui"/>
    <m/>
  </r>
  <r>
    <d v="2026-03-18T00:00:00"/>
    <s v="P29"/>
    <s v="Versement"/>
    <m/>
    <n v="100000"/>
    <m/>
    <n v="907884"/>
    <x v="8"/>
    <s v="CA-M-V23"/>
    <m/>
  </r>
  <r>
    <d v="2026-03-18T00:00:00"/>
    <s v="P29"/>
    <s v="Versement"/>
    <m/>
    <n v="103000"/>
    <m/>
    <n v="804884"/>
    <x v="8"/>
    <s v="CA-M-V24"/>
    <m/>
  </r>
  <r>
    <d v="2026-03-18T00:00:00"/>
    <s v="Frais de tansfert d'argent  à P29 et T73 par cf"/>
    <s v="Transfert fees"/>
    <s v="Office"/>
    <n v="7710"/>
    <m/>
    <n v="797174"/>
    <x v="7"/>
    <s v="CA-M-R14"/>
    <m/>
  </r>
  <r>
    <d v="2026-03-20T00:00:00"/>
    <s v="T73"/>
    <s v="Versement"/>
    <m/>
    <n v="154000"/>
    <m/>
    <n v="643174"/>
    <x v="2"/>
    <s v="CA-M-V25"/>
    <m/>
  </r>
  <r>
    <d v="2026-03-20T00:00:00"/>
    <s v="IT87"/>
    <s v="Versement"/>
    <m/>
    <n v="75000"/>
    <m/>
    <n v="568174"/>
    <x v="3"/>
    <s v="CA-M-V26"/>
    <m/>
  </r>
  <r>
    <d v="2026-03-20T00:00:00"/>
    <s v="Parfaite"/>
    <s v="Versement"/>
    <m/>
    <n v="30000"/>
    <m/>
    <n v="538174"/>
    <x v="7"/>
    <s v="CA-M-V27"/>
    <m/>
  </r>
  <r>
    <d v="2026-03-23T00:00:00"/>
    <s v="IT87"/>
    <s v="Versement"/>
    <m/>
    <n v="72000"/>
    <m/>
    <n v="466174"/>
    <x v="3"/>
    <s v="CA-M-V28"/>
    <m/>
  </r>
  <r>
    <d v="2026-03-23T00:00:00"/>
    <s v="Frais de tansfert d'argent  à IT87 par momo"/>
    <s v="Transfert fees"/>
    <s v="Office"/>
    <n v="2520"/>
    <m/>
    <n v="463654"/>
    <x v="7"/>
    <s v="CA-M-R15"/>
    <m/>
  </r>
  <r>
    <d v="2026-03-24T00:00:00"/>
    <s v="Achat carburant groupe electrogène Bureau "/>
    <s v="Office Materiels"/>
    <s v="Office"/>
    <n v="62500"/>
    <m/>
    <n v="401154"/>
    <x v="6"/>
    <s v="CA-M-R16"/>
    <m/>
  </r>
  <r>
    <d v="2026-03-24T00:00:00"/>
    <s v="Achat credit  teléphonique MTN/PALF/Du 25 au 31/03/2026 "/>
    <s v="Telephone"/>
    <s v="Office"/>
    <n v="65000"/>
    <m/>
    <n v="336154"/>
    <x v="4"/>
    <s v="Oui"/>
    <m/>
  </r>
  <r>
    <d v="2026-03-24T00:00:00"/>
    <s v="Reglement assurance retraite Coordinateur periode Novembre, Décembre 2025 et Janvier 2026"/>
    <s v="Personnel"/>
    <s v="Management"/>
    <n v="150000"/>
    <m/>
    <n v="186154"/>
    <x v="5"/>
    <s v="CA-M-R17"/>
    <m/>
  </r>
  <r>
    <d v="2026-03-24T00:00:00"/>
    <s v="DOVI"/>
    <s v="Versement"/>
    <m/>
    <n v="20000"/>
    <m/>
    <n v="166154"/>
    <x v="5"/>
    <s v="CA-M-V29"/>
    <m/>
  </r>
  <r>
    <d v="2026-03-25T00:00:00"/>
    <s v="IT87"/>
    <s v="Versement"/>
    <m/>
    <n v="46000"/>
    <m/>
    <n v="120154"/>
    <x v="3"/>
    <s v="CA-M-V30"/>
    <m/>
  </r>
  <r>
    <d v="2026-03-25T00:00:00"/>
    <s v="Frais de tansfert d'argent  à IT87 par momo"/>
    <s v="Transfert fees"/>
    <s v="Office"/>
    <n v="1610"/>
    <m/>
    <n v="118544"/>
    <x v="7"/>
    <s v="CA-M-R18"/>
    <m/>
  </r>
  <r>
    <d v="2026-03-25T00:00:00"/>
    <s v="Achat de 04 ampoule à crochet"/>
    <s v="Office Materiels"/>
    <s v="Office"/>
    <n v="10000"/>
    <m/>
    <n v="108544"/>
    <x v="7"/>
    <s v="CA-M-R19"/>
    <m/>
  </r>
  <r>
    <d v="2026-03-25T00:00:00"/>
    <s v="Romain"/>
    <s v="Versement"/>
    <m/>
    <n v="50000"/>
    <m/>
    <n v="58544"/>
    <x v="6"/>
    <s v="CA-M-V31"/>
    <m/>
  </r>
  <r>
    <d v="2026-03-25T00:00:00"/>
    <s v="Donald-Roméo"/>
    <s v="Versement"/>
    <m/>
    <n v="50000"/>
    <m/>
    <n v="8544"/>
    <x v="10"/>
    <s v="CA-M-V32"/>
    <m/>
  </r>
  <r>
    <d v="2026-03-26T00:00:00"/>
    <s v="Retrait espèces/3655255"/>
    <s v="Versement"/>
    <m/>
    <m/>
    <n v="2000000"/>
    <n v="2008544"/>
    <x v="1"/>
    <s v="CA-M-V33"/>
    <m/>
  </r>
  <r>
    <d v="2026-03-26T00:00:00"/>
    <s v="P29"/>
    <s v="Versement"/>
    <m/>
    <n v="67000"/>
    <m/>
    <n v="1941544"/>
    <x v="8"/>
    <s v="CA-M-V34"/>
    <m/>
  </r>
  <r>
    <d v="2026-03-26T00:00:00"/>
    <s v="T73"/>
    <s v="Versement"/>
    <m/>
    <n v="109000"/>
    <m/>
    <n v="1832544"/>
    <x v="2"/>
    <s v="CA-M-V35"/>
    <m/>
  </r>
  <r>
    <d v="2026-03-26T00:00:00"/>
    <s v="Frais de tansfert d'argent  à P29 et T73 par par momo"/>
    <s v="Transfert fees"/>
    <s v="Office"/>
    <n v="6160"/>
    <m/>
    <n v="1826384"/>
    <x v="7"/>
    <s v="CA-M-R20"/>
    <m/>
  </r>
  <r>
    <d v="2026-03-26T00:00:00"/>
    <s v="Frais de photocopie de ordre de paiement et la decharge"/>
    <s v="Office Materiels"/>
    <s v="Office"/>
    <n v="3750"/>
    <m/>
    <n v="1822634"/>
    <x v="7"/>
    <s v="CA-M-R21"/>
    <m/>
  </r>
  <r>
    <d v="2026-03-27T00:00:00"/>
    <s v="Romain"/>
    <s v="Versement"/>
    <m/>
    <n v="14500"/>
    <m/>
    <n v="1808134"/>
    <x v="6"/>
    <s v="CA-M-V36"/>
    <m/>
  </r>
  <r>
    <d v="2026-03-27T00:00:00"/>
    <s v="Donald-Roméo"/>
    <s v="Versement"/>
    <m/>
    <n v="38500"/>
    <m/>
    <n v="1769634"/>
    <x v="10"/>
    <s v="CA-M-V37"/>
    <m/>
  </r>
  <r>
    <d v="2026-03-27T00:00:00"/>
    <s v="IT87"/>
    <s v="Versement"/>
    <m/>
    <n v="23000"/>
    <m/>
    <n v="1746634"/>
    <x v="3"/>
    <s v="CA-M-V38"/>
    <m/>
  </r>
  <r>
    <d v="2026-03-27T00:00:00"/>
    <s v="Frais de tansfert d'argent  à Romain ,Donald-Roméo et  IT87 par momo"/>
    <s v="Transfert fees"/>
    <s v="Office"/>
    <n v="2660"/>
    <m/>
    <n v="1743974"/>
    <x v="7"/>
    <s v="CA-M-R22"/>
    <m/>
  </r>
  <r>
    <d v="2026-03-27T00:00:00"/>
    <s v="Achat produits alimentaires et de nettoyages  lait/Bureau PALF"/>
    <s v="Office Materiels"/>
    <s v="Office"/>
    <n v="10000"/>
    <m/>
    <n v="1733974"/>
    <x v="7"/>
    <s v="CA-M-R23"/>
    <m/>
  </r>
  <r>
    <d v="2026-03-27T00:00:00"/>
    <s v="Achat produits alimentaires et de nettoyages café/Bureau PALF"/>
    <s v="Office Materiels"/>
    <s v="Office"/>
    <n v="4000"/>
    <m/>
    <n v="1729974"/>
    <x v="7"/>
    <s v="CA-M-R23"/>
    <m/>
  </r>
  <r>
    <d v="2026-03-27T00:00:00"/>
    <s v="Achat produits alimentaires et de nettoyages sucre 5 kg/Bureau PALF"/>
    <s v="Office Materiels"/>
    <s v="Office"/>
    <n v="3500"/>
    <m/>
    <n v="1726474"/>
    <x v="7"/>
    <s v="CA-M-R23"/>
    <m/>
  </r>
  <r>
    <d v="2026-03-27T00:00:00"/>
    <s v="Achat produits alimentaires et de nettoyages  lipton/Bureau PALF"/>
    <s v="Office Materiels"/>
    <s v="Office"/>
    <n v="3500"/>
    <m/>
    <n v="1722974"/>
    <x v="7"/>
    <s v="CA-M-R23"/>
    <m/>
  </r>
  <r>
    <d v="2026-03-27T00:00:00"/>
    <s v="Achat produits alimentaires et de nettoyages Nettoyant surface/Bureau PALF"/>
    <s v="Office Materiels"/>
    <s v="Office"/>
    <n v="5600"/>
    <m/>
    <n v="1717374"/>
    <x v="7"/>
    <s v="CA-M-R23"/>
    <m/>
  </r>
  <r>
    <d v="2026-03-27T00:00:00"/>
    <s v="Achat produits alimentaires et de nettoyages  Javel/Bureau PALF"/>
    <s v="Office Materiels"/>
    <s v="Office"/>
    <n v="6000"/>
    <m/>
    <n v="1711374"/>
    <x v="7"/>
    <s v="CA-M-R23"/>
    <m/>
  </r>
  <r>
    <d v="2026-03-27T00:00:00"/>
    <s v="Achat produits alimentaires et de nettoyages  Liquide vaiselle/Bureau PALF"/>
    <s v="Office Materiels"/>
    <s v="Office"/>
    <n v="1250"/>
    <m/>
    <n v="1710124"/>
    <x v="7"/>
    <s v="CA-M-R23"/>
    <m/>
  </r>
  <r>
    <d v="2026-03-27T00:00:00"/>
    <s v="Achat produits alimentaires et de nettoyages  savons/Bureau PALF"/>
    <s v="Office Materiels"/>
    <s v="Office"/>
    <n v="1200"/>
    <m/>
    <n v="1708924"/>
    <x v="7"/>
    <s v="CA-M-R23"/>
    <m/>
  </r>
  <r>
    <d v="2026-03-27T00:00:00"/>
    <s v="Achat produits alimentaires et de nettoyages detergent proclin/Bureau PALF"/>
    <s v="Office Materiels"/>
    <s v="Office"/>
    <n v="3700"/>
    <m/>
    <n v="1705224"/>
    <x v="7"/>
    <s v="CA-M-R23"/>
    <m/>
  </r>
  <r>
    <d v="2026-03-27T00:00:00"/>
    <s v="Achat produits alimentaires et de nettoyages Papier toilette/Bureau PALF"/>
    <s v="Office Materiels"/>
    <s v="Office"/>
    <n v="17550"/>
    <m/>
    <n v="1687674"/>
    <x v="7"/>
    <s v="CA-M-R23"/>
    <m/>
  </r>
  <r>
    <d v="2026-03-27T00:00:00"/>
    <s v="Achat produits alimentaires et de nettoyages  sac poubelle /Bureau PALF"/>
    <s v="Office Materiels"/>
    <s v="Office"/>
    <n v="11100"/>
    <m/>
    <n v="1676574"/>
    <x v="7"/>
    <s v="CA-M-R23"/>
    <m/>
  </r>
  <r>
    <d v="2026-03-27T00:00:00"/>
    <s v="Crépin"/>
    <s v="Versement"/>
    <m/>
    <n v="62000"/>
    <m/>
    <n v="1614574"/>
    <x v="11"/>
    <s v="CA-M-V39"/>
    <m/>
  </r>
  <r>
    <d v="2026-03-30T00:00:00"/>
    <s v="Frais de ramassage Ordure Mars 2026"/>
    <s v="Rent &amp; Utilities"/>
    <s v="Office"/>
    <n v="6000"/>
    <m/>
    <n v="1608574"/>
    <x v="7"/>
    <s v="CA-M-R24"/>
    <m/>
  </r>
  <r>
    <d v="2026-03-30T00:00:00"/>
    <s v="Reglement prestation de nettoyage  PALF du mois de Mars 2026"/>
    <s v="Services"/>
    <s v="Office"/>
    <n v="80000"/>
    <m/>
    <n v="1528574"/>
    <x v="7"/>
    <s v="CA-M-R25"/>
    <m/>
  </r>
  <r>
    <d v="2026-03-30T00:00:00"/>
    <s v=" Frais de prestation de nettoyage jardin PALF Mars 2026"/>
    <s v="Services"/>
    <s v="Office"/>
    <n v="40000"/>
    <m/>
    <n v="1488574"/>
    <x v="7"/>
    <s v="CA-M-R26"/>
    <m/>
  </r>
  <r>
    <d v="2026-03-30T00:00:00"/>
    <s v="P29"/>
    <s v="Versement"/>
    <m/>
    <n v="75000"/>
    <m/>
    <n v="1413574"/>
    <x v="8"/>
    <s v="CA-M-V40"/>
    <m/>
  </r>
  <r>
    <d v="2026-03-30T00:00:00"/>
    <s v="T73"/>
    <s v="Versement"/>
    <m/>
    <n v="75000"/>
    <m/>
    <n v="1338574"/>
    <x v="2"/>
    <s v="CA-M-V41"/>
    <m/>
  </r>
  <r>
    <d v="2026-03-30T00:00:00"/>
    <s v="Frais de tansfert d'argent  à P29 et T73 par par momo"/>
    <s v="Transfert fees"/>
    <s v="Office"/>
    <n v="5250"/>
    <m/>
    <n v="1333324"/>
    <x v="7"/>
    <s v="CA-M-R27"/>
    <m/>
  </r>
  <r>
    <d v="2026-03-30T00:00:00"/>
    <s v="Crépin"/>
    <s v="Versement"/>
    <m/>
    <n v="100000"/>
    <m/>
    <n v="1233324"/>
    <x v="11"/>
    <s v="CA-M-V42"/>
    <m/>
  </r>
  <r>
    <d v="2026-03-30T00:00:00"/>
    <s v="Evariste"/>
    <s v="Versement"/>
    <m/>
    <n v="100000"/>
    <m/>
    <n v="1133324"/>
    <x v="9"/>
    <s v="CA-M-V43"/>
    <m/>
  </r>
  <r>
    <d v="2026-03-30T00:00:00"/>
    <s v="Donald-Roméo"/>
    <s v="Versement"/>
    <m/>
    <n v="100000"/>
    <m/>
    <n v="1033324"/>
    <x v="10"/>
    <s v="CA-M-V44"/>
    <m/>
  </r>
  <r>
    <d v="2026-03-30T00:00:00"/>
    <s v="Romain"/>
    <s v="Versement"/>
    <m/>
    <n v="100000"/>
    <m/>
    <n v="933324"/>
    <x v="6"/>
    <s v="CA-M-V45"/>
    <m/>
  </r>
  <r>
    <d v="2026-03-31T00:00:00"/>
    <s v="DOVI"/>
    <s v="Versement"/>
    <m/>
    <n v="20000"/>
    <m/>
    <n v="913324"/>
    <x v="5"/>
    <s v="CA-M-V46"/>
    <m/>
  </r>
  <r>
    <d v="2026-03-31T00:00:00"/>
    <s v="Parfaite"/>
    <s v="Versement"/>
    <m/>
    <n v="20000"/>
    <m/>
    <n v="893324"/>
    <x v="7"/>
    <s v="CA-M-V47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5">
  <r>
    <d v="2026-03-02T00:00:00"/>
    <s v="Maison-Bureau"/>
    <x v="0"/>
    <x v="0"/>
    <n v="1000"/>
    <n v="1.8771635173931283"/>
    <n v="532.71864210781655"/>
    <x v="0"/>
    <s v="DH-M-D1"/>
    <s v="PALF"/>
    <s v="Aspinall"/>
    <s v="CONGO"/>
    <m/>
    <m/>
    <m/>
  </r>
  <r>
    <d v="2026-03-02T00:00:00"/>
    <s v="Credit telephonique MTN/PALF/ du 02 au 09 Mars  2026/ DOVI"/>
    <x v="1"/>
    <x v="0"/>
    <n v="10000"/>
    <n v="18.771635173931283"/>
    <n v="532.71864210781655"/>
    <x v="0"/>
    <s v="DH-M-R1"/>
    <s v="PALF"/>
    <s v="Aspinall"/>
    <s v="CONGO"/>
    <m/>
    <m/>
    <m/>
  </r>
  <r>
    <d v="2026-03-02T00:00:00"/>
    <s v="Règlement loyer Février/Coordinateur"/>
    <x v="2"/>
    <x v="0"/>
    <n v="250000"/>
    <n v="469.29087934828209"/>
    <n v="532.71864210781655"/>
    <x v="0"/>
    <s v="DH-M-R2"/>
    <s v="PALF"/>
    <s v="Aspinall"/>
    <s v="CONGO"/>
    <m/>
    <m/>
    <m/>
  </r>
  <r>
    <d v="2026-03-02T00:00:00"/>
    <s v="Bureau- Maison"/>
    <x v="0"/>
    <x v="0"/>
    <n v="1000"/>
    <n v="1.8771635173931283"/>
    <n v="532.71864210781655"/>
    <x v="0"/>
    <s v="DH-M-D1"/>
    <s v="PALF"/>
    <s v="Aspinall"/>
    <s v="CONGO"/>
    <m/>
    <m/>
    <m/>
  </r>
  <r>
    <d v="2026-03-02T00:00:00"/>
    <s v="Credit telephonique MTN PALF/du 02   au 09 Mars 2026/Legal/ crepin"/>
    <x v="1"/>
    <x v="1"/>
    <n v="7500"/>
    <n v="14.441102265267405"/>
    <n v="519.35093749999999"/>
    <x v="1"/>
    <s v="CR-M-R1"/>
    <s v="PALF"/>
    <s v="Aspinall"/>
    <s v="CONGO"/>
    <m/>
    <m/>
    <m/>
  </r>
  <r>
    <d v="2026-03-02T00:00:00"/>
    <s v="Taxi: Bureau -Banque BCI/ Retrait espece "/>
    <x v="0"/>
    <x v="2"/>
    <n v="1000"/>
    <n v="1.867727535907062"/>
    <n v="535.41"/>
    <x v="2"/>
    <s v="P-M-D1"/>
    <s v="PALF"/>
    <s v="Aspinall"/>
    <s v="CONGO"/>
    <m/>
    <m/>
    <m/>
  </r>
  <r>
    <d v="2026-03-02T00:00:00"/>
    <s v="Taxi: Banque BCI-Direction MTN Congo/Achat Crédit"/>
    <x v="0"/>
    <x v="2"/>
    <n v="1000"/>
    <n v="1.867727535907062"/>
    <n v="535.41"/>
    <x v="2"/>
    <s v="P-M-D1"/>
    <s v="PALF"/>
    <s v="Aspinall"/>
    <s v="CONGO"/>
    <m/>
    <m/>
    <m/>
  </r>
  <r>
    <d v="2026-03-02T00:00:00"/>
    <s v="Taxi:   Direction MTN Congo- Bureau"/>
    <x v="0"/>
    <x v="2"/>
    <n v="1000"/>
    <n v="1.867727535907062"/>
    <n v="535.41"/>
    <x v="2"/>
    <s v="P-M-D1"/>
    <s v="PALF"/>
    <s v="Aspinall"/>
    <s v="CONGO"/>
    <m/>
    <m/>
    <m/>
  </r>
  <r>
    <d v="2026-03-02T00:00:00"/>
    <s v="Credit teléphonique MTN PALF/ du 02 au 09 Mars 2026/Management/ Parfaite"/>
    <x v="1"/>
    <x v="0"/>
    <n v="5000"/>
    <n v="9.3386376795353101"/>
    <n v="535.41"/>
    <x v="2"/>
    <s v="P-M-R1"/>
    <s v="PALF"/>
    <s v="Aspinall"/>
    <s v="CONGO"/>
    <m/>
    <m/>
    <m/>
  </r>
  <r>
    <d v="2026-03-02T00:00:00"/>
    <s v="Taxi : bureau - agence transbony "/>
    <x v="0"/>
    <x v="3"/>
    <n v="1000"/>
    <n v="1.867727535907062"/>
    <n v="535.41"/>
    <x v="3"/>
    <s v="T73-M-D1"/>
    <s v="PALF"/>
    <s v="Aspinall"/>
    <s v="CONGO"/>
    <m/>
    <m/>
    <m/>
  </r>
  <r>
    <d v="2026-03-02T00:00:00"/>
    <s v="Credit telephonique MTN PALF/ du 02 au 09 Mars 2026/ Investigation/T73"/>
    <x v="1"/>
    <x v="3"/>
    <n v="7500"/>
    <n v="14.007956519302965"/>
    <n v="535.41"/>
    <x v="3"/>
    <s v="T73-M-R1"/>
    <s v="PALF"/>
    <s v="Aspinall"/>
    <s v="CONGO"/>
    <m/>
    <m/>
    <m/>
  </r>
  <r>
    <d v="2026-03-02T00:00:00"/>
    <s v="Taxi : agence transbony - marché mikalou"/>
    <x v="0"/>
    <x v="3"/>
    <n v="1000"/>
    <n v="1.867727535907062"/>
    <n v="535.41"/>
    <x v="3"/>
    <s v="T73-M-D1"/>
    <s v="PALF"/>
    <s v="Aspinall"/>
    <s v="CONGO"/>
    <m/>
    <m/>
    <m/>
  </r>
  <r>
    <d v="2026-03-02T00:00:00"/>
    <s v="Taxi : marché mikalou - zone libanga ya talo"/>
    <x v="0"/>
    <x v="3"/>
    <n v="1000"/>
    <n v="1.867727535907062"/>
    <n v="535.41"/>
    <x v="3"/>
    <s v="T73-M-D1"/>
    <s v="PALF"/>
    <s v="Aspinall"/>
    <s v="CONGO"/>
    <m/>
    <m/>
    <m/>
  </r>
  <r>
    <d v="2026-03-02T00:00:00"/>
    <s v="Taxi : zone libanga ya talo - domicile"/>
    <x v="0"/>
    <x v="3"/>
    <n v="1000"/>
    <n v="1.867727535907062"/>
    <n v="535.41"/>
    <x v="3"/>
    <s v="T73-M-D1"/>
    <s v="PALF"/>
    <s v="Aspinall"/>
    <s v="CONGO"/>
    <m/>
    <m/>
    <m/>
  </r>
  <r>
    <d v="2026-03-02T00:00:00"/>
    <s v="Achat boissons/ une cible"/>
    <x v="3"/>
    <x v="3"/>
    <n v="2000"/>
    <n v="3.735455071814124"/>
    <n v="535.41"/>
    <x v="3"/>
    <s v="T73-M-D2"/>
    <s v="PALF"/>
    <s v="Aspinall"/>
    <s v="CONGO"/>
    <m/>
    <m/>
    <m/>
  </r>
  <r>
    <d v="2026-03-02T00:00:00"/>
    <s v="Achat billet: Brazzaville - Owando/T73"/>
    <x v="4"/>
    <x v="3"/>
    <n v="8000"/>
    <n v="14.941820287256496"/>
    <n v="535.41"/>
    <x v="3"/>
    <s v="T73-M-R2"/>
    <s v="PALF"/>
    <s v="Aspinall"/>
    <s v="CONGO"/>
    <m/>
    <m/>
    <m/>
  </r>
  <r>
    <d v="2026-03-02T00:00:00"/>
    <s v="T73- CONGO Ration du 03 au 08/03/2026 à Owando et Ewo (05 Nuitées)"/>
    <x v="5"/>
    <x v="3"/>
    <n v="50000"/>
    <n v="93.386376795353101"/>
    <n v="535.41"/>
    <x v="3"/>
    <s v="T73-M-R3"/>
    <s v="PALF"/>
    <s v="Aspinall"/>
    <s v="CONGO"/>
    <m/>
    <m/>
    <m/>
  </r>
  <r>
    <d v="2026-03-02T00:00:00"/>
    <s v="Taxi : domicile - agence transbony"/>
    <x v="0"/>
    <x v="3"/>
    <n v="1000"/>
    <n v="1.867727535907062"/>
    <n v="535.41"/>
    <x v="3"/>
    <s v="T73-M-D1"/>
    <s v="PALF"/>
    <s v="Aspinall"/>
    <s v="CONGO"/>
    <m/>
    <m/>
    <m/>
  </r>
  <r>
    <d v="2026-03-02T00:00:00"/>
    <s v="Taxi moto : agence transbony - centre ville ( recherche hotel)"/>
    <x v="0"/>
    <x v="3"/>
    <n v="500"/>
    <n v="0.93386376795353099"/>
    <n v="535.41"/>
    <x v="3"/>
    <s v="T73-M-D1"/>
    <s v="PALF"/>
    <s v="Aspinall"/>
    <s v="CONGO"/>
    <m/>
    <m/>
    <m/>
  </r>
  <r>
    <d v="2026-03-02T00:00:00"/>
    <s v="Taxi moto : centre ville - zone hopital ( recherche hotel)"/>
    <x v="0"/>
    <x v="3"/>
    <n v="500"/>
    <n v="0.93386376795353099"/>
    <n v="535.41"/>
    <x v="3"/>
    <s v="T73-M-D1"/>
    <s v="PALF"/>
    <s v="Aspinall"/>
    <s v="CONGO"/>
    <m/>
    <m/>
    <m/>
  </r>
  <r>
    <d v="2026-03-02T00:00:00"/>
    <s v="Taxi moto : zone hopital - quartier aloko (fin de journée)"/>
    <x v="0"/>
    <x v="3"/>
    <n v="500"/>
    <n v="0.93386376795353099"/>
    <n v="535.41"/>
    <x v="3"/>
    <s v="T73-M-D1"/>
    <s v="PALF"/>
    <s v="Aspinall"/>
    <s v="CONGO"/>
    <m/>
    <m/>
    <m/>
  </r>
  <r>
    <d v="2026-03-02T00:00:00"/>
    <s v="Taxi : Bureau - Agence trans bony/ Achat billet Brazzaville - Makoua"/>
    <x v="0"/>
    <x v="3"/>
    <n v="1000"/>
    <n v="1.867727535907062"/>
    <n v="535.41"/>
    <x v="4"/>
    <s v="IT87-M-D1"/>
    <s v="PALF"/>
    <s v="Aspinall"/>
    <s v="CONGO"/>
    <m/>
    <m/>
    <m/>
  </r>
  <r>
    <d v="2026-03-02T00:00:00"/>
    <s v="Achat billet Brazzaville - Makoua/ IT87"/>
    <x v="4"/>
    <x v="3"/>
    <n v="9000"/>
    <n v="16.809547823163559"/>
    <n v="535.41"/>
    <x v="4"/>
    <s v="IT87-M-R1"/>
    <s v="PALF"/>
    <s v="Aspinall"/>
    <s v="CONGO"/>
    <m/>
    <m/>
    <m/>
  </r>
  <r>
    <d v="2026-03-02T00:00:00"/>
    <s v="Taxi : Agence trans bony - PK/ Prospection"/>
    <x v="0"/>
    <x v="3"/>
    <n v="1000"/>
    <n v="1.867727535907062"/>
    <n v="535.41"/>
    <x v="4"/>
    <s v="IT87-M-D1"/>
    <s v="PALF"/>
    <s v="Aspinall"/>
    <s v="CONGO"/>
    <m/>
    <m/>
    <m/>
  </r>
  <r>
    <d v="2026-03-02T00:00:00"/>
    <s v="Taxi : PK - Mouhoumi/ Prospection"/>
    <x v="0"/>
    <x v="3"/>
    <n v="1000"/>
    <n v="1.867727535907062"/>
    <n v="535.41"/>
    <x v="4"/>
    <s v="IT87-M-D1"/>
    <s v="PALF"/>
    <s v="Aspinall"/>
    <s v="CONGO"/>
    <m/>
    <m/>
    <m/>
  </r>
  <r>
    <d v="2026-03-02T00:00:00"/>
    <s v="Taxi : Mouhoumi - Domicile/ Retour de Prospection"/>
    <x v="0"/>
    <x v="3"/>
    <n v="1500"/>
    <n v="2.8015913038605929"/>
    <n v="535.41"/>
    <x v="4"/>
    <s v="IT87-M-D1"/>
    <s v="PALF"/>
    <s v="Aspinall"/>
    <s v="CONGO"/>
    <m/>
    <m/>
    <m/>
  </r>
  <r>
    <d v="2026-03-02T00:00:00"/>
    <s v="Credit telephonique MTN PALF/du 02 au 09 Mars 2026/Investigation /IT87"/>
    <x v="1"/>
    <x v="3"/>
    <n v="7500"/>
    <n v="14.007956519302965"/>
    <n v="535.41"/>
    <x v="4"/>
    <s v="IT87-M-R2"/>
    <s v="PALF"/>
    <s v="Aspinall"/>
    <s v="CONGO"/>
    <m/>
    <m/>
    <m/>
  </r>
  <r>
    <d v="2026-03-02T00:00:00"/>
    <s v="Paiement Honoraire Me LOCKO/Mois de novembre  2025/3655238"/>
    <x v="6"/>
    <x v="1"/>
    <n v="150000"/>
    <n v="280.1591303860593"/>
    <n v="535.41"/>
    <x v="5"/>
    <s v="BQ-M-R1"/>
    <s v="PALF"/>
    <s v="Aspinall"/>
    <s v="CONGO"/>
    <m/>
    <m/>
    <m/>
  </r>
  <r>
    <d v="2026-03-02T00:00:00"/>
    <s v="Reglement Loyer du  Mois de Janvier 2026/3655241"/>
    <x v="7"/>
    <x v="2"/>
    <n v="500000"/>
    <n v="933.86376795353101"/>
    <n v="535.41"/>
    <x v="5"/>
    <s v="BQ-M-R2"/>
    <s v="PALF"/>
    <s v="Aspinall"/>
    <s v="CONGO"/>
    <m/>
    <m/>
    <m/>
  </r>
  <r>
    <d v="2026-03-02T00:00:00"/>
    <s v="Reglement Facture Gardiennage du mois de Janvier 2026/3655240"/>
    <x v="8"/>
    <x v="2"/>
    <n v="260000"/>
    <n v="485.60915933583613"/>
    <n v="535.41"/>
    <x v="5"/>
    <s v="BQ-M-R3"/>
    <s v="PALF"/>
    <s v="Aspinall"/>
    <s v="CONGO"/>
    <m/>
    <m/>
    <m/>
  </r>
  <r>
    <d v="2026-03-03T00:00:00"/>
    <s v="Maison-Bureau"/>
    <x v="0"/>
    <x v="0"/>
    <n v="1000"/>
    <n v="1.8771635173931283"/>
    <n v="532.71864210781655"/>
    <x v="0"/>
    <s v="DH-M-D1"/>
    <s v="PALF"/>
    <s v="Aspinall"/>
    <s v="CONGO"/>
    <m/>
    <m/>
    <m/>
  </r>
  <r>
    <d v="2026-03-03T00:00:00"/>
    <s v="Bureau - Bureau Lussaka"/>
    <x v="0"/>
    <x v="0"/>
    <n v="1000"/>
    <n v="1.8771635173931283"/>
    <n v="532.71864210781655"/>
    <x v="0"/>
    <s v="DH-M-D1"/>
    <s v="PALF"/>
    <s v="Aspinall"/>
    <s v="CONGO"/>
    <m/>
    <m/>
    <m/>
  </r>
  <r>
    <d v="2026-03-03T00:00:00"/>
    <s v="Bureau lussaka -Bureau"/>
    <x v="0"/>
    <x v="0"/>
    <n v="1000"/>
    <n v="1.8771635173931283"/>
    <n v="532.71864210781655"/>
    <x v="0"/>
    <s v="DH-M-D1"/>
    <s v="PALF"/>
    <s v="Aspinall"/>
    <s v="CONGO"/>
    <m/>
    <m/>
    <m/>
  </r>
  <r>
    <d v="2026-03-03T00:00:00"/>
    <s v="Bureau-Maison"/>
    <x v="0"/>
    <x v="0"/>
    <n v="1000"/>
    <n v="1.8771635173931283"/>
    <n v="532.71864210781655"/>
    <x v="0"/>
    <s v="DH-M-D1"/>
    <s v="PALF"/>
    <s v="Aspinall"/>
    <s v="CONGO"/>
    <m/>
    <m/>
    <m/>
  </r>
  <r>
    <d v="2026-03-03T00:00:00"/>
    <s v="Taxi:  Domicile- Société de gardiennage (PGS) /remise de chèque du mois de Janvier 2026"/>
    <x v="0"/>
    <x v="2"/>
    <n v="1000"/>
    <n v="1.867727535907062"/>
    <n v="535.41"/>
    <x v="2"/>
    <s v="P-M-D1"/>
    <s v="PALF"/>
    <s v="Aspinall"/>
    <s v="CONGO"/>
    <m/>
    <m/>
    <m/>
  </r>
  <r>
    <d v="2026-03-03T00:00:00"/>
    <s v="Taxi:  Societé de gardiennage  - Bureau"/>
    <x v="0"/>
    <x v="2"/>
    <n v="1000"/>
    <n v="1.867727535907062"/>
    <n v="535.41"/>
    <x v="2"/>
    <s v="P-M-D1"/>
    <s v="PALF"/>
    <s v="Aspinall"/>
    <s v="CONGO"/>
    <m/>
    <m/>
    <m/>
  </r>
  <r>
    <d v="2026-03-03T00:00:00"/>
    <s v="IT87- CONGO Ration du 03 au 08/03/2026 à Etoumbi et Makoua"/>
    <x v="5"/>
    <x v="3"/>
    <n v="50000"/>
    <n v="93.386376795353101"/>
    <n v="535.41"/>
    <x v="4"/>
    <s v="IT87-M-D3"/>
    <s v="PALF"/>
    <s v="Aspinall"/>
    <s v="CONGO"/>
    <m/>
    <m/>
    <m/>
  </r>
  <r>
    <d v="2026-03-03T00:00:00"/>
    <s v="Taxi : Domicile - Agence trans bony/ Départ pour Makoua"/>
    <x v="0"/>
    <x v="3"/>
    <n v="2000"/>
    <n v="3.735455071814124"/>
    <n v="535.41"/>
    <x v="4"/>
    <s v="IT87-M-D1"/>
    <s v="PALF"/>
    <s v="Aspinall"/>
    <s v="CONGO"/>
    <m/>
    <m/>
    <m/>
  </r>
  <r>
    <d v="2026-03-03T00:00:00"/>
    <s v="Taxi : Agence trans bony - Parking/ Arrivé à Makoua"/>
    <x v="0"/>
    <x v="3"/>
    <n v="500"/>
    <n v="0.93386376795353099"/>
    <n v="535.41"/>
    <x v="4"/>
    <s v="IT87-M-D1"/>
    <s v="PALF"/>
    <s v="Aspinall"/>
    <s v="CONGO"/>
    <m/>
    <m/>
    <m/>
  </r>
  <r>
    <d v="2026-03-03T00:00:00"/>
    <s v="Achat billet Makoua - Etoumbi/ IT87"/>
    <x v="4"/>
    <x v="3"/>
    <n v="5000"/>
    <n v="9.3386376795353101"/>
    <n v="535.41"/>
    <x v="4"/>
    <s v="IT87-M-R3"/>
    <s v="PALF"/>
    <s v="Aspinall"/>
    <s v="CONGO"/>
    <m/>
    <m/>
    <m/>
  </r>
  <r>
    <d v="2026-03-03T00:00:00"/>
    <s v="Taxi moto : Parking - Hôtel Akoua/ Arrivé à Etoumbi"/>
    <x v="0"/>
    <x v="3"/>
    <n v="500"/>
    <n v="0.93386376795353099"/>
    <n v="535.41"/>
    <x v="4"/>
    <s v="IT87-M-D1"/>
    <s v="PALF"/>
    <s v="Aspinall"/>
    <s v="CONGO"/>
    <m/>
    <m/>
    <m/>
  </r>
  <r>
    <d v="2026-03-03T00:00:00"/>
    <s v="Taxi moto : Hôtel Akoua - Hôtel Leon/ Recherche de logement"/>
    <x v="0"/>
    <x v="3"/>
    <n v="500"/>
    <n v="0.93386376795353099"/>
    <n v="535.41"/>
    <x v="4"/>
    <s v="IT87-M-D1"/>
    <s v="PALF"/>
    <s v="Aspinall"/>
    <s v="CONGO"/>
    <m/>
    <m/>
    <m/>
  </r>
  <r>
    <d v="2026-03-04T00:00:00"/>
    <s v="Maison-Bureau"/>
    <x v="0"/>
    <x v="0"/>
    <n v="1000"/>
    <n v="1.8771635173931283"/>
    <n v="532.71864210781655"/>
    <x v="0"/>
    <s v="DH-M-D1"/>
    <s v="PALF"/>
    <s v="Aspinall"/>
    <s v="CONGO"/>
    <m/>
    <m/>
    <m/>
  </r>
  <r>
    <d v="2026-03-04T00:00:00"/>
    <s v="Bureau- Aspinall"/>
    <x v="0"/>
    <x v="0"/>
    <n v="1000"/>
    <n v="1.9254803020356539"/>
    <n v="519.35093749999999"/>
    <x v="0"/>
    <s v="DH-M-D1"/>
    <s v="PALF"/>
    <s v="Aspinall"/>
    <s v="CONGO"/>
    <m/>
    <m/>
    <m/>
  </r>
  <r>
    <d v="2026-03-04T00:00:00"/>
    <s v="Aspinall- Bureau"/>
    <x v="0"/>
    <x v="0"/>
    <n v="1000"/>
    <n v="1.9254803020356539"/>
    <n v="519.35093749999999"/>
    <x v="0"/>
    <s v="DH-M-D1"/>
    <s v="PALF"/>
    <s v="Aspinall"/>
    <s v="CONGO"/>
    <m/>
    <m/>
    <m/>
  </r>
  <r>
    <d v="2026-03-04T00:00:00"/>
    <s v="Bureau- Maison"/>
    <x v="0"/>
    <x v="0"/>
    <n v="1000"/>
    <n v="1.9254803020356539"/>
    <n v="519.35093749999999"/>
    <x v="0"/>
    <s v="DH-M-D1"/>
    <s v="PALF"/>
    <s v="Aspinall"/>
    <s v="CONGO"/>
    <m/>
    <m/>
    <m/>
  </r>
  <r>
    <d v="2026-03-04T00:00:00"/>
    <s v="Règlement facture d'eau du mois de Janvier et Février 2026 bureau PALF"/>
    <x v="7"/>
    <x v="2"/>
    <n v="12750"/>
    <n v="23.813526082815041"/>
    <n v="535.41"/>
    <x v="2"/>
    <s v="CA-M-R2"/>
    <s v="PALF"/>
    <s v="Aspinall"/>
    <s v="CONGO"/>
    <m/>
    <m/>
    <m/>
  </r>
  <r>
    <d v="2026-03-04T00:00:00"/>
    <s v="Taxi: Bureau- Direction LCDE/ Reglement facture d'eau du mois de Janvier Février 2026"/>
    <x v="0"/>
    <x v="2"/>
    <n v="1000"/>
    <n v="1.867727535907062"/>
    <n v="535.41"/>
    <x v="2"/>
    <s v="P-M-D1"/>
    <s v="PALF"/>
    <s v="Aspinall"/>
    <s v="CONGO"/>
    <m/>
    <m/>
    <m/>
  </r>
  <r>
    <d v="2026-03-04T00:00:00"/>
    <s v="Taxi: Direction LCDE- Direction MTN / Achat crédit télephonique equipe PALF"/>
    <x v="0"/>
    <x v="2"/>
    <n v="1000"/>
    <n v="1.867727535907062"/>
    <n v="535.41"/>
    <x v="2"/>
    <s v="P-M-D1"/>
    <s v="PALF"/>
    <s v="Aspinall"/>
    <s v="CONGO"/>
    <m/>
    <m/>
    <m/>
  </r>
  <r>
    <d v="2026-03-04T00:00:00"/>
    <s v="Taxi: Direction MTN - Domicile"/>
    <x v="0"/>
    <x v="2"/>
    <n v="1000"/>
    <n v="1.867727535907062"/>
    <n v="535.41"/>
    <x v="2"/>
    <s v="P-M-D1"/>
    <s v="PALF"/>
    <s v="Aspinall"/>
    <s v="CONGO"/>
    <m/>
    <m/>
    <m/>
  </r>
  <r>
    <d v="2026-03-04T00:00:00"/>
    <s v="Credit telephonique MTN PALF/ du 04 au 09 Mars 2026/ Investigation/P29"/>
    <x v="1"/>
    <x v="3"/>
    <n v="7500"/>
    <n v="14.007956519302965"/>
    <n v="535.41"/>
    <x v="6"/>
    <s v="P29-M-R1"/>
    <s v="PALF"/>
    <s v="Aspinall"/>
    <s v="CONGO"/>
    <m/>
    <m/>
    <m/>
  </r>
  <r>
    <d v="2026-03-04T00:00:00"/>
    <s v="Taxi moto : hotel le plaisir - centre ville (prospection)"/>
    <x v="0"/>
    <x v="3"/>
    <n v="500"/>
    <n v="0.93386376795353099"/>
    <n v="535.41"/>
    <x v="3"/>
    <s v="T73-M-D1"/>
    <s v="PALF"/>
    <s v="Aspinall"/>
    <s v="CONGO"/>
    <m/>
    <m/>
    <m/>
  </r>
  <r>
    <d v="2026-03-04T00:00:00"/>
    <s v="Taxi moto : centre ville - zone du marché (prospection)"/>
    <x v="0"/>
    <x v="3"/>
    <n v="500"/>
    <n v="0.93386376795353099"/>
    <n v="535.41"/>
    <x v="3"/>
    <s v="T73-M-D1"/>
    <s v="PALF"/>
    <s v="Aspinall"/>
    <s v="CONGO"/>
    <m/>
    <m/>
    <m/>
  </r>
  <r>
    <d v="2026-03-04T00:00:00"/>
    <s v="Taxi moto : centre ville - gare routière (prospection)"/>
    <x v="0"/>
    <x v="3"/>
    <n v="500"/>
    <n v="0.93386376795353099"/>
    <n v="535.41"/>
    <x v="3"/>
    <s v="T73-M-D1"/>
    <s v="PALF"/>
    <s v="Aspinall"/>
    <s v="CONGO"/>
    <m/>
    <m/>
    <m/>
  </r>
  <r>
    <d v="2026-03-04T00:00:00"/>
    <s v="Taxi moto : gare routière - quartier port (prospection)"/>
    <x v="0"/>
    <x v="3"/>
    <n v="500"/>
    <n v="0.93386376795353099"/>
    <n v="535.41"/>
    <x v="3"/>
    <s v="T73-M-D1"/>
    <s v="PALF"/>
    <s v="Aspinall"/>
    <s v="CONGO"/>
    <m/>
    <m/>
    <m/>
  </r>
  <r>
    <d v="2026-03-04T00:00:00"/>
    <s v="Taxi moto : quartier port - charden farel (recuperation fond)"/>
    <x v="0"/>
    <x v="3"/>
    <n v="500"/>
    <n v="0.93386376795353099"/>
    <n v="535.41"/>
    <x v="3"/>
    <s v="T73-M-D1"/>
    <s v="PALF"/>
    <s v="Aspinall"/>
    <s v="CONGO"/>
    <m/>
    <m/>
    <m/>
  </r>
  <r>
    <d v="2026-03-04T00:00:00"/>
    <s v="Taxi moto : charden farel - zone eglise (prospection)"/>
    <x v="0"/>
    <x v="3"/>
    <n v="500"/>
    <n v="0.93386376795353099"/>
    <n v="535.41"/>
    <x v="3"/>
    <s v="T73-M-D1"/>
    <s v="PALF"/>
    <s v="Aspinall"/>
    <s v="CONGO"/>
    <m/>
    <m/>
    <m/>
  </r>
  <r>
    <d v="2026-03-04T00:00:00"/>
    <s v="Taxi moto : zone église - hotel (prospection)"/>
    <x v="0"/>
    <x v="3"/>
    <n v="500"/>
    <n v="0.93386376795353099"/>
    <n v="535.41"/>
    <x v="3"/>
    <s v="T73-M-D1"/>
    <s v="PALF"/>
    <s v="Aspinall"/>
    <s v="CONGO"/>
    <m/>
    <m/>
    <m/>
  </r>
  <r>
    <d v="2026-03-04T00:00:00"/>
    <s v="Achat  boissons/ une cible"/>
    <x v="3"/>
    <x v="3"/>
    <n v="2000"/>
    <n v="3.735455071814124"/>
    <n v="535.41"/>
    <x v="3"/>
    <s v="T73-M-D2"/>
    <s v="PALF"/>
    <s v="Aspinall"/>
    <s v="CONGO"/>
    <m/>
    <m/>
    <m/>
  </r>
  <r>
    <d v="2026-03-04T00:00:00"/>
    <s v="Taxi moto : Hôtel - Centre/ Prospection"/>
    <x v="0"/>
    <x v="3"/>
    <n v="500"/>
    <n v="0.93386376795353099"/>
    <n v="535.41"/>
    <x v="4"/>
    <s v="IT87-M-D1"/>
    <s v="PALF"/>
    <s v="Aspinall"/>
    <s v="CONGO"/>
    <m/>
    <m/>
    <m/>
  </r>
  <r>
    <d v="2026-03-04T00:00:00"/>
    <s v="Taxi moto : Centre - Quartier Ouenze/ Prospection"/>
    <x v="0"/>
    <x v="3"/>
    <n v="500"/>
    <n v="0.93386376795353099"/>
    <n v="535.41"/>
    <x v="4"/>
    <s v="IT87-M-D1"/>
    <s v="PALF"/>
    <s v="Aspinall"/>
    <s v="CONGO"/>
    <m/>
    <m/>
    <m/>
  </r>
  <r>
    <d v="2026-03-04T00:00:00"/>
    <s v="Achat boissons avec la cible"/>
    <x v="3"/>
    <x v="3"/>
    <n v="2000"/>
    <n v="3.735455071814124"/>
    <n v="535.41"/>
    <x v="4"/>
    <s v="IT87-M-D2"/>
    <s v="PALF"/>
    <s v="Aspinall"/>
    <s v="CONGO"/>
    <m/>
    <m/>
    <m/>
  </r>
  <r>
    <d v="2026-03-04T00:00:00"/>
    <s v="Taxi moto : Quartier Ouenze - Charden Farell/ Retrait du budget"/>
    <x v="0"/>
    <x v="3"/>
    <n v="500"/>
    <n v="0.93386376795353099"/>
    <n v="535.41"/>
    <x v="4"/>
    <s v="IT87-M-D1"/>
    <s v="PALF"/>
    <s v="Aspinall"/>
    <s v="CONGO"/>
    <m/>
    <m/>
    <m/>
  </r>
  <r>
    <d v="2026-03-04T00:00:00"/>
    <s v="Taxi moto : Charden Farell - Quartier Kosoloba/ Prospection"/>
    <x v="0"/>
    <x v="3"/>
    <n v="500"/>
    <n v="0.93386376795353099"/>
    <n v="535.41"/>
    <x v="4"/>
    <s v="IT87-M-D1"/>
    <s v="PALF"/>
    <s v="Aspinall"/>
    <s v="CONGO"/>
    <m/>
    <m/>
    <m/>
  </r>
  <r>
    <d v="2026-03-04T00:00:00"/>
    <s v="Taxi moto : Quartier Kosoloba - Hôtel/ Retour de prospection"/>
    <x v="0"/>
    <x v="3"/>
    <n v="500"/>
    <n v="0.93386376795353099"/>
    <n v="535.41"/>
    <x v="4"/>
    <s v="IT87-M-D1"/>
    <s v="PALF"/>
    <s v="Aspinall"/>
    <s v="CONGO"/>
    <m/>
    <m/>
    <m/>
  </r>
  <r>
    <d v="2026-03-04T00:00:00"/>
    <s v="Credit telephonique MTN PALF/ du 04 au 09 Mars 2026/Legal//Donald-Roméo"/>
    <x v="1"/>
    <x v="1"/>
    <n v="3000"/>
    <n v="5.6031826077211857"/>
    <n v="535.41"/>
    <x v="7"/>
    <s v="DR-M-R1"/>
    <s v="PALF"/>
    <s v="Aspinall"/>
    <s v="CONGO"/>
    <m/>
    <m/>
    <m/>
  </r>
  <r>
    <d v="2026-03-04T00:00:00"/>
    <s v="Credit telephonique MTN PALF/du 04 au 09 Mars 2026/Média/ Evariste"/>
    <x v="1"/>
    <x v="4"/>
    <n v="3000"/>
    <n v="5.6031826077211857"/>
    <n v="535.41"/>
    <x v="8"/>
    <s v="EV-M-R1"/>
    <s v="PALF"/>
    <s v="Aspinall"/>
    <s v="CONGO"/>
    <m/>
    <m/>
    <m/>
  </r>
  <r>
    <d v="2026-03-04T00:00:00"/>
    <s v="Taxi: Bureau-Charden Farel(pour le transfert des fonds)"/>
    <x v="0"/>
    <x v="1"/>
    <n v="500"/>
    <n v="0.93386376795353099"/>
    <n v="535.41"/>
    <x v="9"/>
    <s v="RM-M-D1"/>
    <s v="PALF"/>
    <s v="Aspinall"/>
    <s v="CONGO"/>
    <m/>
    <m/>
    <m/>
  </r>
  <r>
    <d v="2026-03-04T00:00:00"/>
    <s v="Taxi: Charden Farell-Bureau"/>
    <x v="0"/>
    <x v="1"/>
    <n v="500"/>
    <n v="0.93386376795353099"/>
    <n v="535.41"/>
    <x v="9"/>
    <s v="RM-M-D1"/>
    <s v="PALF"/>
    <s v="Aspinall"/>
    <s v="CONGO"/>
    <m/>
    <m/>
    <m/>
  </r>
  <r>
    <d v="2026-03-04T00:00:00"/>
    <s v="Credit telephonique MTN PALF/du 04 au 09 Mars 2026/Legal/Romain"/>
    <x v="1"/>
    <x v="1"/>
    <n v="2500"/>
    <n v="4.669318839767655"/>
    <n v="535.41"/>
    <x v="9"/>
    <s v="RM-M-R1"/>
    <s v="PALF"/>
    <s v="Aspinall"/>
    <s v="CONGO"/>
    <m/>
    <m/>
    <m/>
  </r>
  <r>
    <d v="2026-03-04T00:00:00"/>
    <s v="Frais de tansfert d'argent  à T73  et IT87 par cf"/>
    <x v="9"/>
    <x v="2"/>
    <n v="2920"/>
    <n v="5.4537644048486209"/>
    <n v="535.41"/>
    <x v="9"/>
    <s v="CA-M-R1"/>
    <s v="PALF"/>
    <s v="Aspinall"/>
    <s v="CONGO"/>
    <m/>
    <m/>
    <m/>
  </r>
  <r>
    <d v="2026-03-05T00:00:00"/>
    <s v="Maison-Bureau"/>
    <x v="0"/>
    <x v="0"/>
    <n v="1000"/>
    <n v="1.867727535907062"/>
    <n v="535.41"/>
    <x v="0"/>
    <s v="DH-M-D1"/>
    <s v="PALF"/>
    <s v="Aspinall"/>
    <s v="CONGO"/>
    <m/>
    <m/>
    <m/>
  </r>
  <r>
    <d v="2026-03-05T00:00:00"/>
    <s v="Bureau-Aspinall"/>
    <x v="0"/>
    <x v="0"/>
    <n v="1000"/>
    <n v="1.8771635173931283"/>
    <n v="532.71864210781655"/>
    <x v="0"/>
    <s v="DH-M-D1"/>
    <s v="PALF"/>
    <s v="Aspinall"/>
    <s v="CONGO"/>
    <m/>
    <m/>
    <m/>
  </r>
  <r>
    <d v="2026-03-05T00:00:00"/>
    <s v="Aspinall -Bureau"/>
    <x v="0"/>
    <x v="0"/>
    <n v="1000"/>
    <n v="1.8771635173931283"/>
    <n v="532.71864210781655"/>
    <x v="0"/>
    <s v="DH-M-D1"/>
    <s v="PALF"/>
    <s v="Aspinall"/>
    <s v="CONGO"/>
    <m/>
    <m/>
    <m/>
  </r>
  <r>
    <d v="2026-03-05T00:00:00"/>
    <s v="Bureau- Maison"/>
    <x v="0"/>
    <x v="0"/>
    <n v="1000"/>
    <n v="1.8771635173931283"/>
    <n v="532.71864210781655"/>
    <x v="0"/>
    <s v="DH-M-D1"/>
    <s v="PALF"/>
    <s v="Aspinall"/>
    <s v="CONGO"/>
    <m/>
    <m/>
    <m/>
  </r>
  <r>
    <d v="2026-03-05T00:00:00"/>
    <s v="Taxi: Bureau - Domicile/ travaille sur les dépenses du mois de dec 2025 janv et fév 2026 heure 18h20"/>
    <x v="0"/>
    <x v="2"/>
    <n v="1000"/>
    <n v="1.867727535907062"/>
    <n v="535.41"/>
    <x v="2"/>
    <s v="P-M-D1"/>
    <s v="PALF"/>
    <s v="Aspinall"/>
    <s v="CONGO"/>
    <m/>
    <m/>
    <m/>
  </r>
  <r>
    <d v="2026-03-05T00:00:00"/>
    <s v="Taxi domicile-aeroport,prospection"/>
    <x v="0"/>
    <x v="3"/>
    <n v="1000"/>
    <n v="1.867727535907062"/>
    <n v="535.41"/>
    <x v="6"/>
    <s v="P29-M-D1"/>
    <s v="PALF"/>
    <s v="Aspinall"/>
    <s v="CONGO"/>
    <m/>
    <m/>
    <m/>
  </r>
  <r>
    <d v="2026-03-05T00:00:00"/>
    <s v="Taxi aeroport-kombo,prospection"/>
    <x v="0"/>
    <x v="3"/>
    <n v="1000"/>
    <n v="1.867727535907062"/>
    <n v="535.41"/>
    <x v="6"/>
    <s v="P29-M-D1"/>
    <s v="PALF"/>
    <s v="Aspinall"/>
    <s v="CONGO"/>
    <m/>
    <m/>
    <m/>
  </r>
  <r>
    <d v="2026-03-05T00:00:00"/>
    <s v="Taxi kombo-capitaine,prospection"/>
    <x v="0"/>
    <x v="3"/>
    <n v="1000"/>
    <n v="1.867727535907062"/>
    <n v="535.41"/>
    <x v="6"/>
    <s v="P29-M-D1"/>
    <s v="PALF"/>
    <s v="Aspinall"/>
    <s v="CONGO"/>
    <m/>
    <m/>
    <m/>
  </r>
  <r>
    <d v="2026-03-05T00:00:00"/>
    <s v="Taxi capitaine-moukondo,prospection"/>
    <x v="0"/>
    <x v="3"/>
    <n v="1000"/>
    <n v="1.867727535907062"/>
    <n v="535.41"/>
    <x v="6"/>
    <s v="P29-M-D1"/>
    <s v="PALF"/>
    <s v="Aspinall"/>
    <s v="CONGO"/>
    <m/>
    <m/>
    <m/>
  </r>
  <r>
    <d v="2026-03-05T00:00:00"/>
    <s v="Taxi moukondo-matsoua,prospection"/>
    <x v="0"/>
    <x v="3"/>
    <n v="1000"/>
    <n v="1.867727535907062"/>
    <n v="535.41"/>
    <x v="6"/>
    <s v="P29-M-D1"/>
    <s v="PALF"/>
    <s v="Aspinall"/>
    <s v="CONGO"/>
    <m/>
    <m/>
    <m/>
  </r>
  <r>
    <d v="2026-03-05T00:00:00"/>
    <s v="Taxi matsoua-domicile"/>
    <x v="0"/>
    <x v="3"/>
    <n v="1000"/>
    <n v="1.867727535907062"/>
    <n v="535.41"/>
    <x v="6"/>
    <s v="P29-M-D1"/>
    <s v="PALF"/>
    <s v="Aspinall"/>
    <s v="CONGO"/>
    <m/>
    <m/>
    <m/>
  </r>
  <r>
    <d v="2026-03-05T00:00:00"/>
    <s v="Achat boisson"/>
    <x v="3"/>
    <x v="3"/>
    <n v="1500"/>
    <n v="2.8015913038605929"/>
    <n v="535.41"/>
    <x v="6"/>
    <s v="P29-M-D5"/>
    <s v="PALF"/>
    <s v="Aspinall"/>
    <s v="CONGO"/>
    <m/>
    <m/>
    <m/>
  </r>
  <r>
    <d v="2026-03-05T00:00:00"/>
    <s v="Taxi moto : hotel le palisir - zone stade ( prospection)"/>
    <x v="0"/>
    <x v="3"/>
    <n v="500"/>
    <n v="0.93386376795353099"/>
    <n v="535.41"/>
    <x v="3"/>
    <s v="T73-M-D1"/>
    <s v="PALF"/>
    <s v="Aspinall"/>
    <s v="CONGO"/>
    <m/>
    <m/>
    <m/>
  </r>
  <r>
    <d v="2026-03-05T00:00:00"/>
    <s v="Taxi moto : zone stade -zone hopital ( prospection)"/>
    <x v="0"/>
    <x v="3"/>
    <n v="500"/>
    <n v="0.93386376795353099"/>
    <n v="535.41"/>
    <x v="3"/>
    <s v="T73-M-D1"/>
    <s v="PALF"/>
    <s v="Aspinall"/>
    <s v="CONGO"/>
    <m/>
    <m/>
    <m/>
  </r>
  <r>
    <d v="2026-03-05T00:00:00"/>
    <s v="Taxi moto : zone hopital - quarier base ( prospection)"/>
    <x v="0"/>
    <x v="3"/>
    <n v="500"/>
    <n v="0.93386376795353099"/>
    <n v="535.41"/>
    <x v="3"/>
    <s v="T73-M-D1"/>
    <s v="PALF"/>
    <s v="Aspinall"/>
    <s v="CONGO"/>
    <m/>
    <m/>
    <m/>
  </r>
  <r>
    <d v="2026-03-05T00:00:00"/>
    <s v="Taxi moto : quarier base - place rouge ( prospection)"/>
    <x v="0"/>
    <x v="3"/>
    <n v="500"/>
    <n v="0.93386376795353099"/>
    <n v="535.41"/>
    <x v="3"/>
    <s v="T73-M-D1"/>
    <s v="PALF"/>
    <s v="Aspinall"/>
    <s v="CONGO"/>
    <m/>
    <m/>
    <m/>
  </r>
  <r>
    <d v="2026-03-05T00:00:00"/>
    <s v="Taxi moto : place rouge - hotel (fin de journée)"/>
    <x v="0"/>
    <x v="3"/>
    <n v="500"/>
    <n v="0.93386376795353099"/>
    <n v="535.41"/>
    <x v="3"/>
    <s v="T73-M-D1"/>
    <s v="PALF"/>
    <s v="Aspinall"/>
    <s v="CONGO"/>
    <m/>
    <m/>
    <m/>
  </r>
  <r>
    <d v="2026-03-05T00:00:00"/>
    <s v="Achat boisson/ une cible"/>
    <x v="3"/>
    <x v="3"/>
    <n v="1650"/>
    <n v="3.0817504342466524"/>
    <n v="535.41"/>
    <x v="3"/>
    <s v="T73-M-D2"/>
    <s v="PALF"/>
    <s v="Aspinall"/>
    <s v="CONGO"/>
    <m/>
    <m/>
    <m/>
  </r>
  <r>
    <d v="2026-03-05T00:00:00"/>
    <s v="Taxi moto : hotel le plaisir - gare routière ( départ pour Ewo)"/>
    <x v="0"/>
    <x v="3"/>
    <n v="500"/>
    <n v="0.93386376795353099"/>
    <n v="535.41"/>
    <x v="3"/>
    <s v="T73-M-D1"/>
    <s v="PALF"/>
    <s v="Aspinall"/>
    <s v="CONGO"/>
    <m/>
    <m/>
    <m/>
  </r>
  <r>
    <d v="2026-03-05T00:00:00"/>
    <s v="T73 - CONGO Frais d'hotel du 03 au 06/03/2026 à Owando (03Nuitées)"/>
    <x v="5"/>
    <x v="3"/>
    <n v="30000"/>
    <n v="56.031826077211861"/>
    <n v="535.41"/>
    <x v="3"/>
    <s v="T73-M-R4"/>
    <s v="PALF"/>
    <s v="Aspinall"/>
    <s v="CONGO"/>
    <m/>
    <m/>
    <m/>
  </r>
  <r>
    <d v="2026-03-05T00:00:00"/>
    <s v="Achat billet : Owando - Ewo /T73"/>
    <x v="4"/>
    <x v="3"/>
    <n v="7000"/>
    <n v="13.074092751349434"/>
    <n v="535.41"/>
    <x v="3"/>
    <s v="T73-M-R5"/>
    <s v="PALF"/>
    <s v="Aspinall"/>
    <s v="CONGO"/>
    <m/>
    <m/>
    <m/>
  </r>
  <r>
    <d v="2026-03-05T00:00:00"/>
    <s v="Taxi moto : Hôtel - Marché/ Prospection"/>
    <x v="0"/>
    <x v="3"/>
    <n v="500"/>
    <n v="0.93386376795353099"/>
    <n v="535.41"/>
    <x v="4"/>
    <s v="IT87-M-D1"/>
    <s v="PALF"/>
    <s v="Aspinall"/>
    <s v="CONGO"/>
    <m/>
    <m/>
    <m/>
  </r>
  <r>
    <d v="2026-03-05T00:00:00"/>
    <s v="Achat boisons avec la cible"/>
    <x v="3"/>
    <x v="3"/>
    <n v="2000"/>
    <n v="3.735455071814124"/>
    <n v="535.41"/>
    <x v="4"/>
    <s v="IT87-M-D2"/>
    <s v="PALF"/>
    <s v="Aspinall"/>
    <s v="CONGO"/>
    <m/>
    <m/>
    <m/>
  </r>
  <r>
    <d v="2026-03-05T00:00:00"/>
    <s v="Taxi moto : Marché - Quartier Talangai/ Prospection"/>
    <x v="0"/>
    <x v="3"/>
    <n v="500"/>
    <n v="0.93386376795353099"/>
    <n v="535.41"/>
    <x v="4"/>
    <s v="IT87-M-D1"/>
    <s v="PALF"/>
    <s v="Aspinall"/>
    <s v="CONGO"/>
    <m/>
    <m/>
    <m/>
  </r>
  <r>
    <d v="2026-03-05T00:00:00"/>
    <s v="Taxi moto : Quartier Talangai - Av. Sassou Nguesso/ Prospection"/>
    <x v="0"/>
    <x v="3"/>
    <n v="500"/>
    <n v="0.93386376795353099"/>
    <n v="535.41"/>
    <x v="4"/>
    <s v="IT87-M-D1"/>
    <s v="PALF"/>
    <s v="Aspinall"/>
    <s v="CONGO"/>
    <m/>
    <m/>
    <m/>
  </r>
  <r>
    <d v="2026-03-05T00:00:00"/>
    <s v="Taxi moto : Av. Sassou Nguesso - Marché/ Rencontrer une cible"/>
    <x v="0"/>
    <x v="3"/>
    <n v="500"/>
    <n v="0.93386376795353099"/>
    <n v="535.41"/>
    <x v="4"/>
    <s v="IT87-M-D1"/>
    <s v="PALF"/>
    <s v="Aspinall"/>
    <s v="CONGO"/>
    <m/>
    <m/>
    <m/>
  </r>
  <r>
    <d v="2026-03-05T00:00:00"/>
    <s v="Taxi moto : Marché - Hôtel/ Retour de prospection"/>
    <x v="0"/>
    <x v="3"/>
    <n v="500"/>
    <n v="0.93386376795353099"/>
    <n v="535.41"/>
    <x v="4"/>
    <s v="IT87-M-D1"/>
    <s v="PALF"/>
    <s v="Aspinall"/>
    <s v="CONGO"/>
    <m/>
    <m/>
    <m/>
  </r>
  <r>
    <d v="2026-03-06T00:00:00"/>
    <s v="Maison-Bureau"/>
    <x v="0"/>
    <x v="0"/>
    <n v="1000"/>
    <n v="1.8771635173931283"/>
    <n v="532.71864210781655"/>
    <x v="0"/>
    <s v="DH-M-D1"/>
    <s v="PALF"/>
    <s v="Aspinall"/>
    <s v="CONGO"/>
    <m/>
    <m/>
    <m/>
  </r>
  <r>
    <d v="2026-03-06T00:00:00"/>
    <s v="Bureau - Tour Nabemba (MEF)"/>
    <x v="0"/>
    <x v="0"/>
    <n v="1000"/>
    <n v="1.8771635173931283"/>
    <n v="532.71864210781655"/>
    <x v="0"/>
    <s v="DH-M-D1"/>
    <s v="PALF"/>
    <s v="Aspinall"/>
    <s v="CONGO"/>
    <m/>
    <m/>
    <m/>
  </r>
  <r>
    <d v="2026-03-06T00:00:00"/>
    <s v="Tour Nabemba - Bureau"/>
    <x v="0"/>
    <x v="0"/>
    <n v="1000"/>
    <n v="1.8771635173931283"/>
    <n v="532.71864210781655"/>
    <x v="0"/>
    <s v="DH-M-D1"/>
    <s v="PALF"/>
    <s v="Aspinall"/>
    <s v="CONGO"/>
    <m/>
    <m/>
    <m/>
  </r>
  <r>
    <d v="2026-03-06T00:00:00"/>
    <s v="Bureau- Maison"/>
    <x v="0"/>
    <x v="0"/>
    <n v="1000"/>
    <n v="1.8771635173931283"/>
    <n v="532.71864210781655"/>
    <x v="0"/>
    <s v="DH-M-D1"/>
    <s v="PALF"/>
    <s v="Aspinall"/>
    <s v="CONGO"/>
    <m/>
    <m/>
    <m/>
  </r>
  <r>
    <d v="2026-03-06T00:00:00"/>
    <s v="Taxi domicile-poto poto,rencontre avec la cible"/>
    <x v="0"/>
    <x v="3"/>
    <n v="1500"/>
    <n v="2.8015913038605929"/>
    <n v="535.41"/>
    <x v="6"/>
    <s v="P29-M-D1"/>
    <s v="PALF"/>
    <s v="Aspinall"/>
    <s v="CONGO"/>
    <m/>
    <m/>
    <m/>
  </r>
  <r>
    <d v="2026-03-06T00:00:00"/>
    <s v="Taxi poto poto-mampassi,prospêction"/>
    <x v="0"/>
    <x v="3"/>
    <n v="1000"/>
    <n v="1.867727535907062"/>
    <n v="535.41"/>
    <x v="6"/>
    <s v="P29-M-D1"/>
    <s v="PALF"/>
    <s v="Aspinall"/>
    <s v="CONGO"/>
    <m/>
    <m/>
    <m/>
  </r>
  <r>
    <d v="2026-03-06T00:00:00"/>
    <s v="Taxi mapassi-ouenze,prospection"/>
    <x v="0"/>
    <x v="3"/>
    <n v="1000"/>
    <n v="1.867727535907062"/>
    <n v="535.41"/>
    <x v="6"/>
    <s v="P29-M-D1"/>
    <s v="PALF"/>
    <s v="Aspinall"/>
    <s v="CONGO"/>
    <m/>
    <m/>
    <m/>
  </r>
  <r>
    <d v="2026-03-06T00:00:00"/>
    <s v="Taxi  ouenze-la tsieme,prospection"/>
    <x v="0"/>
    <x v="3"/>
    <n v="1000"/>
    <n v="1.867727535907062"/>
    <n v="535.41"/>
    <x v="6"/>
    <s v="P29-M-D1"/>
    <s v="PALF"/>
    <s v="Aspinall"/>
    <s v="CONGO"/>
    <m/>
    <m/>
    <m/>
  </r>
  <r>
    <d v="2026-03-06T00:00:00"/>
    <s v="Taxi la tsieme-domicile"/>
    <x v="0"/>
    <x v="3"/>
    <n v="1500"/>
    <n v="2.8015913038605929"/>
    <n v="535.41"/>
    <x v="6"/>
    <s v="P29-M-D1"/>
    <s v="PALF"/>
    <s v="Aspinall"/>
    <s v="CONGO"/>
    <m/>
    <m/>
    <m/>
  </r>
  <r>
    <d v="2026-03-06T00:00:00"/>
    <s v="Achat boisson"/>
    <x v="3"/>
    <x v="3"/>
    <n v="1000"/>
    <n v="1.867727535907062"/>
    <n v="535.41"/>
    <x v="6"/>
    <s v="P29-M-D5"/>
    <s v="PALF"/>
    <s v="Aspinall"/>
    <s v="CONGO"/>
    <m/>
    <m/>
    <m/>
  </r>
  <r>
    <d v="2026-03-06T00:00:00"/>
    <s v="Taxi moto : gare routière - hotel Elonga (recherche hotel)"/>
    <x v="0"/>
    <x v="3"/>
    <n v="500"/>
    <n v="0.93386376795353099"/>
    <n v="535.41"/>
    <x v="3"/>
    <s v="T73-M-D1"/>
    <s v="PALF"/>
    <s v="Aspinall"/>
    <s v="CONGO"/>
    <m/>
    <m/>
    <m/>
  </r>
  <r>
    <d v="2026-03-06T00:00:00"/>
    <s v="Taxi moto : hotel Elonga - quartier centre (recherche hotel)"/>
    <x v="0"/>
    <x v="3"/>
    <n v="500"/>
    <n v="0.93386376795353099"/>
    <n v="535.41"/>
    <x v="3"/>
    <s v="T73-M-D1"/>
    <s v="PALF"/>
    <s v="Aspinall"/>
    <s v="CONGO"/>
    <m/>
    <m/>
    <m/>
  </r>
  <r>
    <d v="2026-03-06T00:00:00"/>
    <s v="Taxi moto : quartier centre - quartier bouta (recherche hotel)"/>
    <x v="0"/>
    <x v="3"/>
    <n v="500"/>
    <n v="0.93386376795353099"/>
    <n v="535.41"/>
    <x v="3"/>
    <s v="T73-M-D1"/>
    <s v="PALF"/>
    <s v="Aspinall"/>
    <s v="CONGO"/>
    <m/>
    <m/>
    <m/>
  </r>
  <r>
    <d v="2026-03-06T00:00:00"/>
    <s v="Taxi moto : quartier bouta - gare routière (prospection)"/>
    <x v="0"/>
    <x v="3"/>
    <n v="500"/>
    <n v="0.93386376795353099"/>
    <n v="535.41"/>
    <x v="3"/>
    <s v="T73-M-D1"/>
    <s v="PALF"/>
    <s v="Aspinall"/>
    <s v="CONGO"/>
    <m/>
    <m/>
    <m/>
  </r>
  <r>
    <d v="2026-03-06T00:00:00"/>
    <s v="Taxi moto : gare routière - hotel elonda (fin de journée)"/>
    <x v="0"/>
    <x v="3"/>
    <n v="500"/>
    <n v="0.93386376795353099"/>
    <n v="535.41"/>
    <x v="3"/>
    <s v="T73-M-D1"/>
    <s v="PALF"/>
    <s v="Aspinall"/>
    <s v="CONGO"/>
    <m/>
    <m/>
    <m/>
  </r>
  <r>
    <d v="2026-03-06T00:00:00"/>
    <s v="IT87- CONGO Frais d'hôtel du 03 au 06/03/2026 à Etoumbi (03 nuitées)"/>
    <x v="5"/>
    <x v="3"/>
    <n v="30000"/>
    <n v="56.031826077211861"/>
    <n v="535.41"/>
    <x v="4"/>
    <s v="IT87-M-R4"/>
    <s v="PALF"/>
    <s v="Aspinall"/>
    <s v="CONGO"/>
    <m/>
    <m/>
    <m/>
  </r>
  <r>
    <d v="2026-03-06T00:00:00"/>
    <s v="Taxi moto : Hôtel - Parking/ Départ pour Makoua"/>
    <x v="0"/>
    <x v="3"/>
    <n v="500"/>
    <n v="0.93386376795353099"/>
    <n v="535.41"/>
    <x v="4"/>
    <s v="IT87-M-D1"/>
    <s v="PALF"/>
    <s v="Aspinall"/>
    <s v="CONGO"/>
    <m/>
    <m/>
    <m/>
  </r>
  <r>
    <d v="2026-03-06T00:00:00"/>
    <s v="Achat billet Etoumbi - Makoua/ IT87"/>
    <x v="4"/>
    <x v="3"/>
    <n v="5000"/>
    <n v="9.3386376795353101"/>
    <n v="535.41"/>
    <x v="4"/>
    <s v="IT87-M-R5"/>
    <s v="PALF"/>
    <s v="Aspinall"/>
    <s v="CONGO"/>
    <m/>
    <m/>
    <m/>
  </r>
  <r>
    <d v="2026-03-06T00:00:00"/>
    <s v="Taxi moto : Parking - Hôtel Louise/ Recherche d'hôtel"/>
    <x v="0"/>
    <x v="3"/>
    <n v="500"/>
    <n v="0.93386376795353099"/>
    <n v="535.41"/>
    <x v="4"/>
    <s v="IT87-M-D1"/>
    <s v="PALF"/>
    <s v="Aspinall"/>
    <s v="CONGO"/>
    <m/>
    <m/>
    <m/>
  </r>
  <r>
    <d v="2026-03-06T00:00:00"/>
    <s v="Taxi moto : Hôtel Louise - Hôtel GESNA/ Recherche d'hôtel"/>
    <x v="0"/>
    <x v="3"/>
    <n v="500"/>
    <n v="0.93386376795353099"/>
    <n v="535.41"/>
    <x v="4"/>
    <s v="IT87-M-D1"/>
    <s v="PALF"/>
    <s v="Aspinall"/>
    <s v="CONGO"/>
    <m/>
    <m/>
    <m/>
  </r>
  <r>
    <d v="2026-03-06T00:00:00"/>
    <s v="Taxi moto : Hôtel GESNA - Hôtel Emilienne/ Installation à Makoua"/>
    <x v="0"/>
    <x v="3"/>
    <n v="500"/>
    <n v="0.93386376795353099"/>
    <n v="535.41"/>
    <x v="4"/>
    <s v="IT87-M-D1"/>
    <s v="PALF"/>
    <s v="Aspinall"/>
    <s v="CONGO"/>
    <m/>
    <m/>
    <m/>
  </r>
  <r>
    <d v="2026-03-06T00:00:00"/>
    <s v="Taxi moto : Hôtel - Rond point/ Prospection"/>
    <x v="0"/>
    <x v="3"/>
    <n v="500"/>
    <n v="0.93386376795353099"/>
    <n v="535.41"/>
    <x v="4"/>
    <s v="IT87-M-D1"/>
    <s v="PALF"/>
    <s v="Aspinall"/>
    <s v="CONGO"/>
    <m/>
    <m/>
    <m/>
  </r>
  <r>
    <d v="2026-03-06T00:00:00"/>
    <s v="Achat boissons avec une cible"/>
    <x v="3"/>
    <x v="3"/>
    <n v="1500"/>
    <n v="2.8015913038605929"/>
    <n v="535.41"/>
    <x v="4"/>
    <s v="IT87-M-D2"/>
    <s v="PALF"/>
    <s v="Aspinall"/>
    <s v="CONGO"/>
    <m/>
    <m/>
    <m/>
  </r>
  <r>
    <d v="2026-03-06T00:00:00"/>
    <s v="Taxi moto : Rond point - Marché/ Prospection"/>
    <x v="0"/>
    <x v="3"/>
    <n v="500"/>
    <n v="0.93386376795353099"/>
    <n v="535.41"/>
    <x v="4"/>
    <s v="IT87-M-D1"/>
    <s v="PALF"/>
    <s v="Aspinall"/>
    <s v="CONGO"/>
    <m/>
    <m/>
    <m/>
  </r>
  <r>
    <d v="2026-03-06T00:00:00"/>
    <s v="Taxi moto : Marché - Hôtel/ Retour de prospection"/>
    <x v="0"/>
    <x v="3"/>
    <n v="500"/>
    <n v="0.93386376795353099"/>
    <n v="535.41"/>
    <x v="4"/>
    <s v="IT87-M-D1"/>
    <s v="PALF"/>
    <s v="Aspinall"/>
    <s v="CONGO"/>
    <m/>
    <m/>
    <m/>
  </r>
  <r>
    <d v="2026-03-07T00:00:00"/>
    <s v="Taxi domicile_moungali,rencontre avec la cible"/>
    <x v="0"/>
    <x v="3"/>
    <n v="1500"/>
    <n v="2.8015913038605929"/>
    <n v="535.41"/>
    <x v="6"/>
    <s v="P29-M-D1"/>
    <s v="PALF"/>
    <s v="Aspinall"/>
    <s v="CONGO"/>
    <m/>
    <m/>
    <m/>
  </r>
  <r>
    <d v="2026-03-07T00:00:00"/>
    <s v="Taxi moungali-marché,extraction"/>
    <x v="0"/>
    <x v="3"/>
    <n v="1000"/>
    <n v="1.867727535907062"/>
    <n v="535.41"/>
    <x v="6"/>
    <s v="P29-M-D1"/>
    <s v="PALF"/>
    <s v="Aspinall"/>
    <s v="CONGO"/>
    <m/>
    <m/>
    <m/>
  </r>
  <r>
    <d v="2026-03-07T00:00:00"/>
    <s v="Taxi marchémoukondo,extraction"/>
    <x v="0"/>
    <x v="3"/>
    <n v="1000"/>
    <n v="1.867727535907062"/>
    <n v="535.41"/>
    <x v="6"/>
    <s v="P29-M-D1"/>
    <s v="PALF"/>
    <s v="Aspinall"/>
    <s v="CONGO"/>
    <m/>
    <m/>
    <m/>
  </r>
  <r>
    <d v="2026-03-07T00:00:00"/>
    <s v="Taxi moukondo-total,extraction"/>
    <x v="0"/>
    <x v="3"/>
    <n v="1000"/>
    <n v="1.867727535907062"/>
    <n v="535.41"/>
    <x v="6"/>
    <s v="P29-M-D1"/>
    <s v="PALF"/>
    <s v="Aspinall"/>
    <s v="CONGO"/>
    <m/>
    <m/>
    <m/>
  </r>
  <r>
    <d v="2026-03-07T00:00:00"/>
    <s v="Taxi total-domicile"/>
    <x v="0"/>
    <x v="3"/>
    <n v="1000"/>
    <n v="1.867727535907062"/>
    <n v="535.41"/>
    <x v="6"/>
    <s v="P29-M-D1"/>
    <s v="PALF"/>
    <s v="Aspinall"/>
    <s v="CONGO"/>
    <m/>
    <m/>
    <m/>
  </r>
  <r>
    <d v="2026-03-07T00:00:00"/>
    <s v="Achat boisson"/>
    <x v="3"/>
    <x v="3"/>
    <n v="6000"/>
    <n v="11.206365215442371"/>
    <n v="535.41"/>
    <x v="6"/>
    <s v="P29-M-D5"/>
    <s v="PALF"/>
    <s v="Aspinall"/>
    <s v="CONGO"/>
    <m/>
    <m/>
    <m/>
  </r>
  <r>
    <d v="2026-03-07T00:00:00"/>
    <s v="Taxi moto : hotel elonda  - marché (prospection)"/>
    <x v="0"/>
    <x v="3"/>
    <n v="500"/>
    <n v="0.93386376795353099"/>
    <n v="535.41"/>
    <x v="3"/>
    <s v="T73-M-D1"/>
    <s v="PALF"/>
    <s v="Aspinall"/>
    <s v="CONGO"/>
    <m/>
    <m/>
    <m/>
  </r>
  <r>
    <d v="2026-03-07T00:00:00"/>
    <s v="Taxi moto : marché - zone lycée (prospection)"/>
    <x v="0"/>
    <x v="3"/>
    <n v="500"/>
    <n v="0.93386376795353099"/>
    <n v="535.41"/>
    <x v="3"/>
    <s v="T73-M-D1"/>
    <s v="PALF"/>
    <s v="Aspinall"/>
    <s v="CONGO"/>
    <m/>
    <m/>
    <m/>
  </r>
  <r>
    <d v="2026-03-07T00:00:00"/>
    <s v="Taxi moto : zone lycée - zone hopital (prospection)"/>
    <x v="0"/>
    <x v="3"/>
    <n v="500"/>
    <n v="0.93386376795353099"/>
    <n v="535.41"/>
    <x v="3"/>
    <s v="T73-M-D1"/>
    <s v="PALF"/>
    <s v="Aspinall"/>
    <s v="CONGO"/>
    <m/>
    <m/>
    <m/>
  </r>
  <r>
    <d v="2026-03-07T00:00:00"/>
    <s v="Taxi moto : zone hopital - quartier ouenze (prospection)"/>
    <x v="0"/>
    <x v="3"/>
    <n v="500"/>
    <n v="0.93386376795353099"/>
    <n v="535.41"/>
    <x v="3"/>
    <s v="T73-M-D1"/>
    <s v="PALF"/>
    <s v="Aspinall"/>
    <s v="CONGO"/>
    <m/>
    <m/>
    <m/>
  </r>
  <r>
    <d v="2026-03-07T00:00:00"/>
    <s v="Taxi moto : quartier ouenze - agence transbony (réservation billet)"/>
    <x v="0"/>
    <x v="3"/>
    <n v="500"/>
    <n v="0.93386376795353099"/>
    <n v="535.41"/>
    <x v="3"/>
    <s v="T73-M-D1"/>
    <s v="PALF"/>
    <s v="Aspinall"/>
    <s v="CONGO"/>
    <m/>
    <m/>
    <m/>
  </r>
  <r>
    <d v="2026-03-07T00:00:00"/>
    <s v="Taxi moto : agence transbony - hotel (fin de journée)"/>
    <x v="0"/>
    <x v="3"/>
    <n v="500"/>
    <n v="0.93386376795353099"/>
    <n v="535.41"/>
    <x v="3"/>
    <s v="T73-M-D1"/>
    <s v="PALF"/>
    <s v="Aspinall"/>
    <s v="CONGO"/>
    <m/>
    <m/>
    <m/>
  </r>
  <r>
    <d v="2026-03-07T00:00:00"/>
    <s v="achat billet : Ewo - brazzaville /T73"/>
    <x v="4"/>
    <x v="3"/>
    <n v="12000"/>
    <n v="22.412730430884743"/>
    <n v="535.41"/>
    <x v="3"/>
    <s v="T73-M-R6"/>
    <s v="PALF"/>
    <s v="Aspinall"/>
    <s v="CONGO"/>
    <m/>
    <m/>
    <m/>
  </r>
  <r>
    <d v="2026-03-07T00:00:00"/>
    <s v="Achat boissons/ une cible"/>
    <x v="3"/>
    <x v="3"/>
    <n v="2000"/>
    <n v="3.735455071814124"/>
    <n v="535.41"/>
    <x v="3"/>
    <s v="T73-M-D2"/>
    <s v="PALF"/>
    <s v="Aspinall"/>
    <s v="CONGO"/>
    <m/>
    <m/>
    <m/>
  </r>
  <r>
    <d v="2026-03-07T00:00:00"/>
    <s v="Taxi moto : Hôtel - Zone E2C/ Prospection"/>
    <x v="0"/>
    <x v="3"/>
    <n v="500"/>
    <n v="0.93386376795353099"/>
    <n v="535.41"/>
    <x v="4"/>
    <s v="IT87-M-D1"/>
    <s v="PALF"/>
    <s v="Aspinall"/>
    <s v="CONGO"/>
    <m/>
    <m/>
    <m/>
  </r>
  <r>
    <d v="2026-03-07T00:00:00"/>
    <s v="Taxi moto : Zone E2C - Quartier Moussa Keita/ Prospection"/>
    <x v="0"/>
    <x v="3"/>
    <n v="500"/>
    <n v="0.93386376795353099"/>
    <n v="535.41"/>
    <x v="4"/>
    <s v="IT87-M-D1"/>
    <s v="PALF"/>
    <s v="Aspinall"/>
    <s v="CONGO"/>
    <m/>
    <m/>
    <m/>
  </r>
  <r>
    <d v="2026-03-07T00:00:00"/>
    <s v="Achat boissons avec une cible"/>
    <x v="3"/>
    <x v="3"/>
    <n v="2000"/>
    <n v="3.735455071814124"/>
    <n v="535.41"/>
    <x v="4"/>
    <s v="IT87-M-D2"/>
    <s v="PALF"/>
    <s v="Aspinall"/>
    <s v="CONGO"/>
    <m/>
    <m/>
    <m/>
  </r>
  <r>
    <d v="2026-03-07T00:00:00"/>
    <s v="Taxi moto : Quartier Moussa Keita - Ohadé/ Prospection"/>
    <x v="0"/>
    <x v="3"/>
    <n v="500"/>
    <n v="0.93386376795353099"/>
    <n v="535.41"/>
    <x v="4"/>
    <s v="IT87-M-D1"/>
    <s v="PALF"/>
    <s v="Aspinall"/>
    <s v="CONGO"/>
    <m/>
    <m/>
    <m/>
  </r>
  <r>
    <d v="2026-03-07T00:00:00"/>
    <s v="Taxi moto : Ohadé - Agence Trans Bony/ Achat billet"/>
    <x v="0"/>
    <x v="3"/>
    <n v="500"/>
    <n v="0.93386376795353099"/>
    <n v="535.41"/>
    <x v="4"/>
    <s v="IT87-M-D1"/>
    <s v="PALF"/>
    <s v="Aspinall"/>
    <s v="CONGO"/>
    <m/>
    <m/>
    <m/>
  </r>
  <r>
    <d v="2026-03-07T00:00:00"/>
    <s v="Taxi moto : Agence trans bony - Hôtel/ Retour du terrain"/>
    <x v="0"/>
    <x v="3"/>
    <n v="500"/>
    <n v="0.93386376795353099"/>
    <n v="535.41"/>
    <x v="4"/>
    <s v="IT87-M-D1"/>
    <s v="PALF"/>
    <s v="Aspinall"/>
    <s v="CONGO"/>
    <m/>
    <m/>
    <m/>
  </r>
  <r>
    <d v="2026-03-08T00:00:00"/>
    <s v="T73 - CONGO Frais d'hotel du 06 au 08/03/2026 à Ewo (02Nuitées)"/>
    <x v="5"/>
    <x v="3"/>
    <n v="20000"/>
    <n v="37.35455071814124"/>
    <n v="535.41"/>
    <x v="3"/>
    <s v="T73-M-R7"/>
    <s v="PALF"/>
    <s v="Aspinall"/>
    <s v="CONGO"/>
    <m/>
    <m/>
    <m/>
  </r>
  <r>
    <d v="2026-03-08T00:00:00"/>
    <s v="Taxi moto : hotel elonda - agence transbony (retour sur Brazzaville)"/>
    <x v="0"/>
    <x v="3"/>
    <n v="500"/>
    <n v="0.93386376795353099"/>
    <n v="535.41"/>
    <x v="3"/>
    <s v="T73-M-D1"/>
    <s v="PALF"/>
    <s v="Aspinall"/>
    <s v="CONGO"/>
    <m/>
    <m/>
    <m/>
  </r>
  <r>
    <d v="2026-03-08T00:00:00"/>
    <s v="Taxi moto : agence transbony - domicile (retour sur Brazzaville)"/>
    <x v="0"/>
    <x v="3"/>
    <n v="1000"/>
    <n v="1.867727535907062"/>
    <n v="535.41"/>
    <x v="3"/>
    <s v="T73-M-D1"/>
    <s v="PALF"/>
    <s v="Aspinall"/>
    <s v="CONGO"/>
    <m/>
    <m/>
    <m/>
  </r>
  <r>
    <d v="2026-03-08T00:00:00"/>
    <s v="IT87- CONGO Frais d'hôtel  du 06 au 08/03/2026 à Makoua (02 nuitées)"/>
    <x v="5"/>
    <x v="3"/>
    <n v="20000"/>
    <n v="37.35455071814124"/>
    <n v="535.41"/>
    <x v="4"/>
    <s v="IT87-M-R6"/>
    <s v="PALF"/>
    <s v="Aspinall"/>
    <s v="CONGO"/>
    <m/>
    <m/>
    <m/>
  </r>
  <r>
    <d v="2026-03-08T00:00:00"/>
    <s v="Taxi moto : Hôtel - Agence trans bony/ Départ pour Brazzaville"/>
    <x v="0"/>
    <x v="3"/>
    <n v="500"/>
    <n v="0.93386376795353099"/>
    <n v="535.41"/>
    <x v="4"/>
    <s v="IT87-M-D1"/>
    <s v="PALF"/>
    <s v="Aspinall"/>
    <s v="CONGO"/>
    <m/>
    <m/>
    <m/>
  </r>
  <r>
    <d v="2026-03-08T00:00:00"/>
    <s v="Achat billet Makoua - Brazzaville/ IT87"/>
    <x v="4"/>
    <x v="3"/>
    <n v="8000"/>
    <n v="14.941820287256496"/>
    <n v="535.41"/>
    <x v="4"/>
    <s v="IT87-M-R7"/>
    <s v="PALF"/>
    <s v="Aspinall"/>
    <s v="CONGO"/>
    <m/>
    <m/>
    <m/>
  </r>
  <r>
    <d v="2026-03-08T00:00:00"/>
    <s v="Taxi : Agence Trans bony - Domicile/ Arrivée à Brazzaville"/>
    <x v="0"/>
    <x v="3"/>
    <n v="2000"/>
    <n v="3.735455071814124"/>
    <n v="535.41"/>
    <x v="4"/>
    <s v="IT87-M-D1"/>
    <s v="PALF"/>
    <s v="Aspinall"/>
    <s v="CONGO"/>
    <m/>
    <m/>
    <m/>
  </r>
  <r>
    <d v="2026-03-09T00:00:00"/>
    <s v="Maison- Bureau"/>
    <x v="0"/>
    <x v="0"/>
    <n v="1000"/>
    <n v="1.8771635173931283"/>
    <n v="532.71864210781655"/>
    <x v="0"/>
    <s v="DH-M-D1"/>
    <s v="PALF"/>
    <s v="Aspinall"/>
    <s v="CONGO"/>
    <m/>
    <m/>
    <m/>
  </r>
  <r>
    <d v="2026-03-09T00:00:00"/>
    <s v="Maison-Bureau"/>
    <x v="0"/>
    <x v="0"/>
    <n v="1000"/>
    <n v="1.9054742621280678"/>
    <n v="524.80372990353703"/>
    <x v="0"/>
    <s v="DH-M-D1"/>
    <s v="PALF"/>
    <s v="Aspinall"/>
    <s v="CONGO"/>
    <m/>
    <m/>
    <m/>
  </r>
  <r>
    <d v="2026-03-09T00:00:00"/>
    <s v="Bureau - Ministere de la justice"/>
    <x v="0"/>
    <x v="0"/>
    <n v="1000"/>
    <n v="1.8771635173931283"/>
    <n v="532.71864210781655"/>
    <x v="0"/>
    <s v="DH-M-D1"/>
    <s v="PALF"/>
    <s v="Aspinall"/>
    <s v="CONGO"/>
    <m/>
    <m/>
    <m/>
  </r>
  <r>
    <d v="2026-03-09T00:00:00"/>
    <s v="Ministere de la Justice - Bureau"/>
    <x v="0"/>
    <x v="0"/>
    <n v="1000"/>
    <n v="1.8771635173931283"/>
    <n v="532.71864210781655"/>
    <x v="0"/>
    <s v="DH-M-D1"/>
    <s v="PALF"/>
    <s v="Aspinall"/>
    <s v="CONGO"/>
    <m/>
    <m/>
    <m/>
  </r>
  <r>
    <d v="2026-03-09T00:00:00"/>
    <s v="Bureau- Maison"/>
    <x v="0"/>
    <x v="0"/>
    <n v="1000"/>
    <n v="1.8771635173931283"/>
    <n v="532.71864210781655"/>
    <x v="0"/>
    <s v="DH-M-D1"/>
    <s v="PALF"/>
    <s v="Aspinall"/>
    <s v="CONGO"/>
    <m/>
    <m/>
    <m/>
  </r>
  <r>
    <d v="2026-03-09T00:00:00"/>
    <s v="Paiement prime de fin d'année 2025/ Crépin"/>
    <x v="2"/>
    <x v="1"/>
    <n v="154370"/>
    <n v="297.23639422524388"/>
    <n v="519.35093749999999"/>
    <x v="1"/>
    <s v="CA-M-D3"/>
    <s v="PALF"/>
    <s v="Aspinall"/>
    <s v="CONGO"/>
    <m/>
    <m/>
    <m/>
  </r>
  <r>
    <d v="2026-03-09T00:00:00"/>
    <s v="Paiement prime de fin d'année 2025/ Pafaite"/>
    <x v="2"/>
    <x v="2"/>
    <n v="68800"/>
    <n v="128.49965447040586"/>
    <n v="535.41"/>
    <x v="2"/>
    <s v="CA-M-D6"/>
    <s v="PALF"/>
    <s v="Aspinall"/>
    <s v="CONGO"/>
    <m/>
    <m/>
    <m/>
  </r>
  <r>
    <d v="2026-03-09T00:00:00"/>
    <s v="Taxi:  Bureau-Banque BCI/Appro caisse et deport ordre de virement du mois de janvier et février 2026"/>
    <x v="0"/>
    <x v="2"/>
    <n v="1000"/>
    <n v="1.867727535907062"/>
    <n v="535.41"/>
    <x v="2"/>
    <s v="P-M-D1"/>
    <s v="PALF"/>
    <s v="Aspinall"/>
    <s v="CONGO"/>
    <m/>
    <m/>
    <m/>
  </r>
  <r>
    <d v="2026-03-09T00:00:00"/>
    <s v="Taxi:  Banque BCI - Direction MTN/ Achat credit telephonique deuxième partie du mois de Mai 2025"/>
    <x v="0"/>
    <x v="2"/>
    <n v="1000"/>
    <n v="1.867727535907062"/>
    <n v="535.41"/>
    <x v="2"/>
    <s v="P-M-D1"/>
    <s v="PALF"/>
    <s v="Aspinall"/>
    <s v="CONGO"/>
    <m/>
    <m/>
    <m/>
  </r>
  <r>
    <d v="2026-03-09T00:00:00"/>
    <s v="Taxi: Direction MTN- Bureau"/>
    <x v="0"/>
    <x v="2"/>
    <n v="1000"/>
    <n v="1.867727535907062"/>
    <n v="535.41"/>
    <x v="2"/>
    <s v="P-M-D1"/>
    <s v="PALF"/>
    <s v="Aspinall"/>
    <s v="CONGO"/>
    <m/>
    <m/>
    <m/>
  </r>
  <r>
    <d v="2026-03-10T00:00:00"/>
    <s v="Credit teléphonique MTN PALF/ du 10 au 17 Mars 2026/Management/ Parfaite"/>
    <x v="1"/>
    <x v="0"/>
    <n v="5000"/>
    <n v="9.3386376795353101"/>
    <n v="535.41"/>
    <x v="2"/>
    <s v="P-M-R2"/>
    <s v="PALF"/>
    <s v="Aspinall"/>
    <s v="CONGO"/>
    <m/>
    <m/>
    <m/>
  </r>
  <r>
    <d v="2026-03-09T00:00:00"/>
    <s v="Achat billet Brazzaville-dolisie"/>
    <x v="4"/>
    <x v="3"/>
    <n v="9000"/>
    <n v="16.809547823163559"/>
    <n v="535.41"/>
    <x v="6"/>
    <s v="P29-M-R2"/>
    <s v="PALF"/>
    <s v="Aspinall"/>
    <s v="CONGO"/>
    <m/>
    <m/>
    <m/>
  </r>
  <r>
    <d v="2026-03-09T00:00:00"/>
    <s v="Taxi : Bureau - Agence Ocean du nord/ Achat billet "/>
    <x v="0"/>
    <x v="3"/>
    <n v="1000"/>
    <n v="1.867727535907062"/>
    <n v="535.41"/>
    <x v="4"/>
    <s v="IT87-M-D1"/>
    <s v="PALF"/>
    <s v="Aspinall"/>
    <s v="CONGO"/>
    <m/>
    <m/>
    <m/>
  </r>
  <r>
    <d v="2026-03-09T00:00:00"/>
    <s v="Taxi : Agence Ocean du nord - Domicile/ Retour d'achat billet"/>
    <x v="0"/>
    <x v="3"/>
    <n v="2000"/>
    <n v="3.735455071814124"/>
    <n v="535.41"/>
    <x v="4"/>
    <s v="IT87-M-D1"/>
    <s v="PALF"/>
    <s v="Aspinall"/>
    <s v="CONGO"/>
    <m/>
    <m/>
    <m/>
  </r>
  <r>
    <d v="2026-03-09T00:00:00"/>
    <s v="Paiement prime de fin d'année 2025/ Abraham"/>
    <x v="2"/>
    <x v="1"/>
    <n v="127070"/>
    <n v="237.33213798771035"/>
    <n v="535.41"/>
    <x v="10"/>
    <s v="CA-M-D5"/>
    <s v="PALF"/>
    <s v="Aspinall"/>
    <s v="CONGO"/>
    <m/>
    <m/>
    <m/>
  </r>
  <r>
    <d v="2026-03-09T00:00:00"/>
    <s v="Paiement prime de fin d'année 2025/Roderlin"/>
    <x v="2"/>
    <x v="1"/>
    <n v="127070"/>
    <n v="237.33213798771035"/>
    <n v="535.41"/>
    <x v="11"/>
    <s v="CA-M-D4"/>
    <s v="PALF"/>
    <s v="Aspinall"/>
    <s v="CONGO"/>
    <m/>
    <m/>
    <m/>
  </r>
  <r>
    <d v="2026-03-09T00:00:00"/>
    <s v="Paiement prime de fin d'année 2025/ Donald-Romeo"/>
    <x v="2"/>
    <x v="1"/>
    <n v="127070"/>
    <n v="237.33213798771035"/>
    <n v="535.41"/>
    <x v="7"/>
    <s v="CA-M-D2"/>
    <s v="PALF"/>
    <s v="Aspinall"/>
    <s v="CONGO"/>
    <m/>
    <m/>
    <m/>
  </r>
  <r>
    <d v="2026-03-09T00:00:00"/>
    <s v="Paiement prime de fin d'année 2025/ Evariste"/>
    <x v="2"/>
    <x v="4"/>
    <n v="132280"/>
    <n v="247.06299844978616"/>
    <n v="535.41"/>
    <x v="8"/>
    <s v="CA-M-D1"/>
    <s v="PALF"/>
    <s v="Aspinall"/>
    <s v="CONGO"/>
    <m/>
    <m/>
    <m/>
  </r>
  <r>
    <d v="2026-03-09T00:00:00"/>
    <s v="Achat carburant groupe electrogène Bureau "/>
    <x v="10"/>
    <x v="2"/>
    <n v="62500"/>
    <n v="116.73297099419138"/>
    <n v="535.41"/>
    <x v="9"/>
    <s v="CA-M-R3"/>
    <s v="PALF"/>
    <s v="Aspinall"/>
    <s v="CONGO"/>
    <m/>
    <m/>
    <m/>
  </r>
  <r>
    <d v="2026-03-09T00:00:00"/>
    <s v="Virement des fonds par la fondation Aspinall"/>
    <x v="11"/>
    <x v="5"/>
    <m/>
    <n v="0"/>
    <n v="535.41"/>
    <x v="5"/>
    <s v="BQ-M-G1"/>
    <s v="PALF"/>
    <s v="Aspinall"/>
    <s v="CONGO"/>
    <n v="32124589"/>
    <n v="60000"/>
    <m/>
  </r>
  <r>
    <d v="2026-03-09T00:00:00"/>
    <s v="Paiement salaire du mois de Janvier 2026/LOUNDOU Jean Romain/3655242"/>
    <x v="2"/>
    <x v="1"/>
    <n v="228800"/>
    <n v="427.33606021553578"/>
    <n v="535.41"/>
    <x v="5"/>
    <s v="BQ-M-R4"/>
    <s v="PALF"/>
    <s v="Aspinall"/>
    <s v="CONGO"/>
    <m/>
    <m/>
    <m/>
  </r>
  <r>
    <d v="2026-03-09T00:00:00"/>
    <s v="Paiement salaire du mois de Février 2026/LOUNDOU Jean Romain/3655242"/>
    <x v="2"/>
    <x v="1"/>
    <n v="228800"/>
    <n v="427.33606021553578"/>
    <n v="535.41"/>
    <x v="5"/>
    <s v="BQ-M-R5"/>
    <s v="PALF"/>
    <s v="Aspinall"/>
    <s v="CONGO"/>
    <m/>
    <m/>
    <m/>
  </r>
  <r>
    <d v="2026-03-09T00:00:00"/>
    <s v="Paiement salaire du mois de Janvier 2026/Crepin IBOUILI-IBOUILI"/>
    <x v="2"/>
    <x v="1"/>
    <n v="581764"/>
    <n v="1086.576642199436"/>
    <n v="535.41"/>
    <x v="5"/>
    <s v="BQ-M-R6"/>
    <s v="PALF"/>
    <s v="Aspinall"/>
    <s v="CONGO"/>
    <m/>
    <m/>
    <m/>
  </r>
  <r>
    <d v="2026-03-09T00:00:00"/>
    <s v="Paiement salaire du mois de Janvier 2026/PINDI BINGA Donald- Roméo"/>
    <x v="2"/>
    <x v="1"/>
    <n v="328800"/>
    <n v="614.10881380624198"/>
    <n v="535.41"/>
    <x v="5"/>
    <s v="BQ-M-R7"/>
    <s v="PALF"/>
    <s v="Aspinall"/>
    <s v="CONGO"/>
    <m/>
    <m/>
    <m/>
  </r>
  <r>
    <d v="2026-03-09T00:00:00"/>
    <s v="Paiement salaire du mois de Janvier 2026/Evariste LELOUSSI"/>
    <x v="2"/>
    <x v="4"/>
    <n v="268210"/>
    <n v="500.94320240563309"/>
    <n v="535.41"/>
    <x v="5"/>
    <s v="BQ-M-R8"/>
    <s v="PALF"/>
    <s v="Aspinall"/>
    <s v="CONGO"/>
    <m/>
    <m/>
    <m/>
  </r>
  <r>
    <d v="2026-03-09T00:00:00"/>
    <s v="Paiement salaire du mois de Février 2026/Crepin IBOUILI-IBOUILI"/>
    <x v="2"/>
    <x v="1"/>
    <n v="581764"/>
    <n v="1086.576642199436"/>
    <n v="535.41"/>
    <x v="5"/>
    <s v="BQ-M-R9"/>
    <s v="PALF"/>
    <s v="Aspinall"/>
    <s v="CONGO"/>
    <m/>
    <m/>
    <m/>
  </r>
  <r>
    <d v="2026-03-09T00:00:00"/>
    <s v="Paiement salaire du mois de Février 2026/PINDI BINGA Donald- Roméo"/>
    <x v="2"/>
    <x v="1"/>
    <n v="328800"/>
    <n v="614.10881380624198"/>
    <n v="535.41"/>
    <x v="5"/>
    <s v="BQ-M-R10"/>
    <s v="PALF"/>
    <s v="Aspinall"/>
    <s v="CONGO"/>
    <m/>
    <m/>
    <m/>
  </r>
  <r>
    <d v="2026-03-09T00:00:00"/>
    <s v="Paiement salaire du mois de Février 2026/Evariste LELOUSSI"/>
    <x v="2"/>
    <x v="4"/>
    <n v="268210"/>
    <n v="500.94320240563309"/>
    <n v="535.41"/>
    <x v="5"/>
    <s v="BQ-M-R11"/>
    <s v="PALF"/>
    <s v="Aspinall"/>
    <s v="CONGO"/>
    <m/>
    <m/>
    <m/>
  </r>
  <r>
    <d v="2026-03-09T00:00:00"/>
    <s v="Reglement honoraire du mois de Janvier 2026/T73/3655244"/>
    <x v="2"/>
    <x v="3"/>
    <n v="255000"/>
    <n v="476.27052165630079"/>
    <n v="535.41"/>
    <x v="5"/>
    <s v="BQ-M-R12"/>
    <s v="PALF"/>
    <s v="Aspinall"/>
    <s v="CONGO"/>
    <m/>
    <m/>
    <m/>
  </r>
  <r>
    <d v="2026-03-09T00:00:00"/>
    <s v="Reglement honoraire du mois de Février 2026/T73/3655244"/>
    <x v="2"/>
    <x v="3"/>
    <n v="255000"/>
    <n v="476.27052165630079"/>
    <n v="535.41"/>
    <x v="5"/>
    <s v="BQ-M-R13"/>
    <s v="PALF"/>
    <s v="Aspinall"/>
    <s v="CONGO"/>
    <m/>
    <m/>
    <m/>
  </r>
  <r>
    <d v="2026-03-09T00:00:00"/>
    <s v="Reglement honoraire du mois de Janvier 2026/IT87/3655245"/>
    <x v="2"/>
    <x v="3"/>
    <n v="255000"/>
    <n v="476.27052165630079"/>
    <n v="535.41"/>
    <x v="5"/>
    <s v="BQ-M-R14"/>
    <s v="PALF"/>
    <s v="Aspinall"/>
    <s v="CONGO"/>
    <m/>
    <m/>
    <m/>
  </r>
  <r>
    <d v="2026-03-09T00:00:00"/>
    <s v="Reglement honoraire du mois de Février 2026/IT87/3655245"/>
    <x v="2"/>
    <x v="3"/>
    <n v="255000"/>
    <n v="476.27052165630079"/>
    <n v="535.41"/>
    <x v="5"/>
    <s v="BQ-M-R15"/>
    <s v="PALF"/>
    <s v="Aspinall"/>
    <s v="CONGO"/>
    <m/>
    <m/>
    <m/>
  </r>
  <r>
    <d v="2026-03-09T00:00:00"/>
    <s v="Reglement honoraire du mois de Janvier 2026/P29/3655246"/>
    <x v="2"/>
    <x v="3"/>
    <n v="400000"/>
    <n v="747.09101436282481"/>
    <n v="535.41"/>
    <x v="5"/>
    <s v="BQ-M-R16"/>
    <s v="PALF"/>
    <s v="Aspinall"/>
    <s v="CONGO"/>
    <m/>
    <m/>
    <m/>
  </r>
  <r>
    <d v="2026-03-09T00:00:00"/>
    <s v="Reglement honoraire du 17 au 28 Février 2026/P29/3655246"/>
    <x v="2"/>
    <x v="3"/>
    <n v="157143"/>
    <n v="293.50030817504341"/>
    <n v="535.41"/>
    <x v="5"/>
    <s v="BQ-M-R17"/>
    <s v="PALF"/>
    <s v="Aspinall"/>
    <s v="CONGO"/>
    <m/>
    <m/>
    <m/>
  </r>
  <r>
    <d v="2026-03-10T00:00:00"/>
    <s v="Maison-Bureau"/>
    <x v="0"/>
    <x v="0"/>
    <n v="1000"/>
    <n v="1.8677282335885521"/>
    <n v="535.40980000000002"/>
    <x v="0"/>
    <s v="DH-M-D1"/>
    <s v="PALF"/>
    <s v="Aspinall"/>
    <s v="CONGO"/>
    <m/>
    <m/>
    <m/>
  </r>
  <r>
    <d v="2026-03-10T00:00:00"/>
    <s v="Credit telephonique MTN/PALF/ du 10 au 17 Mars 2026/ DOVI"/>
    <x v="1"/>
    <x v="0"/>
    <n v="10000"/>
    <n v="18.771635173931283"/>
    <n v="532.71864210781655"/>
    <x v="0"/>
    <s v="DH-M-R3"/>
    <s v="PALF"/>
    <s v="Aspinall"/>
    <s v="CONGO"/>
    <m/>
    <m/>
    <m/>
  </r>
  <r>
    <d v="2026-03-10T00:00:00"/>
    <s v="Bureau- Maison"/>
    <x v="0"/>
    <x v="0"/>
    <n v="1000"/>
    <n v="1.8771635173931283"/>
    <n v="532.71864210781655"/>
    <x v="0"/>
    <s v="DH-M-D1"/>
    <s v="PALF"/>
    <s v="Aspinall"/>
    <s v="CONGO"/>
    <m/>
    <m/>
    <m/>
  </r>
  <r>
    <d v="2026-03-10T00:00:00"/>
    <s v="Credit telephonique MTN PALF/du 10   au 17 Mars 2026/Legal/ crepin"/>
    <x v="1"/>
    <x v="1"/>
    <n v="7500"/>
    <n v="14.007956519302965"/>
    <n v="535.41"/>
    <x v="1"/>
    <s v="CR-M-R2"/>
    <s v="PALF"/>
    <s v="Aspinall"/>
    <s v="CONGO"/>
    <m/>
    <m/>
    <m/>
  </r>
  <r>
    <d v="2026-03-10T00:00:00"/>
    <s v="P29 - CONGO Ration  du 10  au 17/03/2025 à dolisie,kimongo,ditadi(7 Nuitées)"/>
    <x v="5"/>
    <x v="3"/>
    <n v="70000"/>
    <n v="130.74092751349434"/>
    <n v="535.41"/>
    <x v="6"/>
    <s v="P29-M-D2"/>
    <s v="PALF"/>
    <s v="Aspinall"/>
    <s v="CONGO"/>
    <m/>
    <m/>
    <m/>
  </r>
  <r>
    <d v="2026-03-10T00:00:00"/>
    <s v="Taxi domicile-agence,départ mission"/>
    <x v="0"/>
    <x v="3"/>
    <n v="1500"/>
    <n v="2.8015913038605929"/>
    <n v="535.41"/>
    <x v="6"/>
    <s v="P29-M-D1"/>
    <s v="PALF"/>
    <s v="Aspinall"/>
    <s v="CONGO"/>
    <m/>
    <m/>
    <m/>
  </r>
  <r>
    <d v="2026-03-10T00:00:00"/>
    <s v="Taxi agence-hotel"/>
    <x v="0"/>
    <x v="3"/>
    <n v="1000"/>
    <n v="1.867727535907062"/>
    <n v="535.41"/>
    <x v="6"/>
    <s v="P29-M-D1"/>
    <s v="PALF"/>
    <s v="Aspinall"/>
    <s v="CONGO"/>
    <m/>
    <m/>
    <m/>
  </r>
  <r>
    <d v="2026-03-10T00:00:00"/>
    <s v="Credit telephonique MTN PALF/ du 10  au 17 Mars 2026/ Investigation/P29"/>
    <x v="1"/>
    <x v="3"/>
    <n v="7500"/>
    <n v="14.007956519302965"/>
    <n v="535.41"/>
    <x v="6"/>
    <s v="P29-M-R3"/>
    <s v="PALF"/>
    <s v="Aspinall"/>
    <s v="CONGO"/>
    <m/>
    <m/>
    <m/>
  </r>
  <r>
    <d v="2026-03-10T00:00:00"/>
    <s v="Taxi : domicile - zone PSP"/>
    <x v="0"/>
    <x v="3"/>
    <n v="1000"/>
    <n v="1.867727535907062"/>
    <n v="535.41"/>
    <x v="3"/>
    <s v="T73-M-D1"/>
    <s v="PALF"/>
    <s v="Aspinall"/>
    <s v="CONGO"/>
    <m/>
    <m/>
    <m/>
  </r>
  <r>
    <d v="2026-03-10T00:00:00"/>
    <s v="Taxi : zone PSP - centre ville"/>
    <x v="0"/>
    <x v="3"/>
    <n v="1000"/>
    <n v="1.867727535907062"/>
    <n v="535.41"/>
    <x v="3"/>
    <s v="T73-M-D1"/>
    <s v="PALF"/>
    <s v="Aspinall"/>
    <s v="CONGO"/>
    <m/>
    <m/>
    <m/>
  </r>
  <r>
    <d v="2026-03-10T00:00:00"/>
    <s v="Taxi : centre ville - parc zologique"/>
    <x v="0"/>
    <x v="3"/>
    <n v="1000"/>
    <n v="1.867727535907062"/>
    <n v="535.41"/>
    <x v="3"/>
    <s v="T73-M-D1"/>
    <s v="PALF"/>
    <s v="Aspinall"/>
    <s v="CONGO"/>
    <m/>
    <m/>
    <m/>
  </r>
  <r>
    <d v="2026-03-10T00:00:00"/>
    <s v="Taxi : parc zologique - domicile"/>
    <x v="0"/>
    <x v="3"/>
    <n v="1000"/>
    <n v="1.867727535907062"/>
    <n v="535.41"/>
    <x v="3"/>
    <s v="T73-M-D1"/>
    <s v="PALF"/>
    <s v="Aspinall"/>
    <s v="CONGO"/>
    <m/>
    <m/>
    <m/>
  </r>
  <r>
    <d v="2026-03-10T00:00:00"/>
    <s v="Credit telephonique MTN PALF/ du 10 au 17 Mars 2026/ Investigation/T73"/>
    <x v="1"/>
    <x v="3"/>
    <n v="7500"/>
    <n v="14.007956519302965"/>
    <n v="535.41"/>
    <x v="3"/>
    <s v="T73-M-R8"/>
    <s v="PALF"/>
    <s v="Aspinall"/>
    <s v="CONGO"/>
    <m/>
    <m/>
    <m/>
  </r>
  <r>
    <d v="2026-03-10T00:00:00"/>
    <s v="Achat billet: Brazzaville - Ouesso/ T73"/>
    <x v="4"/>
    <x v="3"/>
    <n v="12000"/>
    <n v="22.412730430884743"/>
    <n v="535.41"/>
    <x v="3"/>
    <s v="T73-M-R9"/>
    <s v="PALF"/>
    <s v="Aspinall"/>
    <s v="CONGO"/>
    <m/>
    <m/>
    <m/>
  </r>
  <r>
    <d v="2026-03-10T00:00:00"/>
    <s v="Achat boisson /trois cibles"/>
    <x v="3"/>
    <x v="3"/>
    <n v="5500"/>
    <n v="10.272501447488841"/>
    <n v="535.41"/>
    <x v="3"/>
    <s v="T73-M-D2"/>
    <s v="PALF"/>
    <s v="Aspinall"/>
    <s v="CONGO"/>
    <m/>
    <m/>
    <m/>
  </r>
  <r>
    <d v="2026-03-10T00:00:00"/>
    <s v="IT87- CONGO Ration du 10 au 17/03/2026 à Sibiti, Zanaga et Loudima"/>
    <x v="5"/>
    <x v="3"/>
    <n v="70000"/>
    <n v="130.74092751349434"/>
    <n v="535.41"/>
    <x v="4"/>
    <s v="IT87-M-D4"/>
    <s v="PALF"/>
    <s v="Aspinall"/>
    <s v="CONGO"/>
    <m/>
    <m/>
    <m/>
  </r>
  <r>
    <d v="2026-03-10T00:00:00"/>
    <s v="Taxi : Domicile - Agence Ocean du nord Moungali"/>
    <x v="0"/>
    <x v="3"/>
    <n v="2000"/>
    <n v="3.735455071814124"/>
    <n v="535.41"/>
    <x v="4"/>
    <s v="IT87-M-D1"/>
    <s v="PALF"/>
    <s v="Aspinall"/>
    <s v="CONGO"/>
    <m/>
    <m/>
    <m/>
  </r>
  <r>
    <d v="2026-03-10T00:00:00"/>
    <s v="Achat billet Brazzaville - Sibiti/ IT87"/>
    <x v="4"/>
    <x v="3"/>
    <n v="9000"/>
    <n v="16.809547823163559"/>
    <n v="535.41"/>
    <x v="4"/>
    <s v="IT87-M-R8"/>
    <s v="PALF"/>
    <s v="Aspinall"/>
    <s v="CONGO"/>
    <m/>
    <m/>
    <m/>
  </r>
  <r>
    <d v="2026-03-10T00:00:00"/>
    <s v="Taxi moto : Agence Ocean du nord - Hôtel Papyrus/ Arrivé à Sibiti"/>
    <x v="0"/>
    <x v="3"/>
    <n v="400"/>
    <n v="0.74709101436282477"/>
    <n v="535.41"/>
    <x v="4"/>
    <s v="IT87-M-D1"/>
    <s v="PALF"/>
    <s v="Aspinall"/>
    <s v="CONGO"/>
    <m/>
    <m/>
    <m/>
  </r>
  <r>
    <d v="2026-03-10T00:00:00"/>
    <s v="Credit telephonique MTN PALF/du 10 au 17 Mars 2026/Investigation/IT87"/>
    <x v="1"/>
    <x v="3"/>
    <n v="7500"/>
    <n v="14.007956519302965"/>
    <n v="535.41"/>
    <x v="4"/>
    <s v="IT87-M-R9"/>
    <s v="PALF"/>
    <s v="Aspinall"/>
    <s v="CONGO"/>
    <m/>
    <m/>
    <m/>
  </r>
  <r>
    <d v="2026-03-10T00:00:00"/>
    <s v="Taxi Bureau- ACFAP/ Deposer les rapports annuels"/>
    <x v="0"/>
    <x v="1"/>
    <n v="1000"/>
    <n v="1.867727535907062"/>
    <n v="535.41"/>
    <x v="7"/>
    <s v="DR-M-D1"/>
    <s v="PALF"/>
    <s v="Aspinall"/>
    <s v="CONGO"/>
    <m/>
    <m/>
    <m/>
  </r>
  <r>
    <d v="2026-03-10T00:00:00"/>
    <s v="Taxi ACFAP-Bureau"/>
    <x v="0"/>
    <x v="1"/>
    <n v="1000"/>
    <n v="1.867727535907062"/>
    <n v="535.41"/>
    <x v="7"/>
    <s v="DR-M-D1"/>
    <s v="PALF"/>
    <s v="Aspinall"/>
    <s v="CONGO"/>
    <m/>
    <m/>
    <m/>
  </r>
  <r>
    <d v="2026-03-10T00:00:00"/>
    <s v="Taxi Bureau- ACFAP/ Deposer les rapports annuels après les observations"/>
    <x v="0"/>
    <x v="1"/>
    <n v="1000"/>
    <n v="1.867727535907062"/>
    <n v="535.41"/>
    <x v="7"/>
    <s v="DR-M-D1"/>
    <s v="PALF"/>
    <s v="Aspinall"/>
    <s v="CONGO"/>
    <m/>
    <m/>
    <m/>
  </r>
  <r>
    <d v="2026-03-10T00:00:00"/>
    <s v="Taxi ACFAP-Bureau"/>
    <x v="0"/>
    <x v="1"/>
    <n v="1000"/>
    <n v="1.867727535907062"/>
    <n v="535.41"/>
    <x v="7"/>
    <s v="DR-M-D1"/>
    <s v="PALF"/>
    <s v="Aspinall"/>
    <s v="CONGO"/>
    <m/>
    <m/>
    <m/>
  </r>
  <r>
    <d v="2026-03-10T00:00:00"/>
    <s v="Credit telephonique MTN PALF/ du 10 au 17 Mars 2026/Legal//Donald-Roméo"/>
    <x v="1"/>
    <x v="1"/>
    <n v="7500"/>
    <n v="14.007956519302965"/>
    <n v="535.41"/>
    <x v="7"/>
    <s v="DR-M-R2"/>
    <s v="PALF"/>
    <s v="Aspinall"/>
    <s v="CONGO"/>
    <m/>
    <m/>
    <m/>
  </r>
  <r>
    <d v="2026-03-10T00:00:00"/>
    <s v="Credit telephonique MTN PALF/du 10 au 17 Mars 2026/Evariste/ Evariste"/>
    <x v="1"/>
    <x v="4"/>
    <n v="7500"/>
    <n v="14.007956519302965"/>
    <n v="535.41"/>
    <x v="8"/>
    <s v="EV-M-R2"/>
    <s v="PALF"/>
    <s v="Aspinall"/>
    <s v="CONGO"/>
    <m/>
    <m/>
    <m/>
  </r>
  <r>
    <d v="2026-03-10T00:00:00"/>
    <s v="Credit telephonique MTN PALF/du 10 au 17 Mars 2026/Legal/Romain"/>
    <x v="1"/>
    <x v="1"/>
    <n v="5000"/>
    <n v="9.3386376795353101"/>
    <n v="535.41"/>
    <x v="9"/>
    <s v="RM-M-R2"/>
    <s v="PALF"/>
    <s v="Aspinall"/>
    <s v="CONGO"/>
    <m/>
    <m/>
    <m/>
  </r>
  <r>
    <d v="2026-03-10T00:00:00"/>
    <s v="Solde du dernier acompte  sur  salaire du mois de décembre 2025/Homéfa DOVI/3655249"/>
    <x v="2"/>
    <x v="0"/>
    <n v="700000"/>
    <n v="1307.4092751349433"/>
    <n v="535.41"/>
    <x v="5"/>
    <s v="BQ-M-R18"/>
    <s v="PALF"/>
    <s v="Aspinall"/>
    <s v="CONGO"/>
    <m/>
    <m/>
    <m/>
  </r>
  <r>
    <d v="2026-03-10T00:00:00"/>
    <s v="Paiement salaire du mois de Janvier 2026/Homéfa DOVI/3655249"/>
    <x v="2"/>
    <x v="0"/>
    <n v="1311000"/>
    <n v="2448.5907995741582"/>
    <n v="535.41"/>
    <x v="5"/>
    <s v="BQ-M-R19"/>
    <s v="PALF"/>
    <s v="Aspinall"/>
    <s v="CONGO"/>
    <m/>
    <m/>
    <m/>
  </r>
  <r>
    <d v="2026-03-10T00:00:00"/>
    <s v="Paiement salaire du mois de Février 2026/Homéfa DOVI/3655249"/>
    <x v="2"/>
    <x v="0"/>
    <n v="1311000"/>
    <n v="2448.5907995741582"/>
    <n v="535.41"/>
    <x v="5"/>
    <s v="BQ-M-R20"/>
    <s v="PALF"/>
    <s v="Aspinall"/>
    <s v="CONGO"/>
    <m/>
    <m/>
    <m/>
  </r>
  <r>
    <d v="2026-03-10T00:00:00"/>
    <s v="Paiement salaire du mois de Janvier 2026/BAVOUMINA NZOUSSI Dina Parfaite/3655248"/>
    <x v="2"/>
    <x v="2"/>
    <n v="258800"/>
    <n v="483.36788629274764"/>
    <n v="535.41"/>
    <x v="5"/>
    <s v="BQ-M-R21"/>
    <s v="PALF"/>
    <s v="Aspinall"/>
    <s v="CONGO"/>
    <m/>
    <m/>
    <m/>
  </r>
  <r>
    <d v="2026-03-10T00:00:00"/>
    <s v="Paiement salaire du mois de Février 2026 fin du premier contrat et congé/BAVOUMINA NZOUSSI Dina Parfaite/3655248"/>
    <x v="2"/>
    <x v="2"/>
    <n v="274914"/>
    <n v="513.46444780635409"/>
    <n v="535.41"/>
    <x v="5"/>
    <s v="BQ-M-R22"/>
    <s v="PALF"/>
    <s v="Aspinall"/>
    <s v="CONGO"/>
    <m/>
    <m/>
    <m/>
  </r>
  <r>
    <d v="2026-03-10T00:00:00"/>
    <s v="Paiement salaire du mois de Février 2026 nouveau contrat/BAVOUMINA NZOUSSI Dina Parfaite/3655248"/>
    <x v="2"/>
    <x v="2"/>
    <n v="187886"/>
    <n v="350.91985581143427"/>
    <n v="535.41"/>
    <x v="5"/>
    <s v="BQ-M-R23"/>
    <s v="PALF"/>
    <s v="Aspinall"/>
    <s v="CONGO"/>
    <m/>
    <m/>
    <m/>
  </r>
  <r>
    <d v="2026-03-10T00:00:00"/>
    <s v="Paiement Honoraire Me LOCKO/Mois de décembre 2025 /3655238"/>
    <x v="6"/>
    <x v="1"/>
    <n v="150000"/>
    <n v="280.1591303860593"/>
    <n v="535.41"/>
    <x v="5"/>
    <s v="BQ-M-R24"/>
    <s v="PALF"/>
    <s v="Aspinall"/>
    <s v="CONGO"/>
    <m/>
    <m/>
    <m/>
  </r>
  <r>
    <d v="2026-03-10T00:00:00"/>
    <s v="Paiement Honoraire Me LOCKO/Mois de Janvier 2026 /3655238"/>
    <x v="6"/>
    <x v="1"/>
    <n v="150000"/>
    <n v="280.1591303860593"/>
    <n v="535.41"/>
    <x v="5"/>
    <s v="BQ-M-R25"/>
    <s v="PALF"/>
    <s v="Aspinall"/>
    <s v="CONGO"/>
    <m/>
    <m/>
    <m/>
  </r>
  <r>
    <d v="2026-03-10T00:00:00"/>
    <s v="Paiement Honoraire Me LOCKO/Mois de Février 2026 /3655238"/>
    <x v="6"/>
    <x v="1"/>
    <n v="150000"/>
    <n v="280.1591303860593"/>
    <n v="535.41"/>
    <x v="5"/>
    <s v="BQ-M-R26"/>
    <s v="PALF"/>
    <s v="Aspinall"/>
    <s v="CONGO"/>
    <m/>
    <m/>
    <m/>
  </r>
  <r>
    <d v="2026-03-10T00:00:00"/>
    <s v="Reglement Facture Gardiennage Mois de Février 2026/3655241"/>
    <x v="8"/>
    <x v="2"/>
    <n v="260000"/>
    <n v="485.60915933583613"/>
    <n v="535.41"/>
    <x v="5"/>
    <s v="BQ-M-R27"/>
    <s v="PALF"/>
    <s v="Aspinall"/>
    <s v="CONGO"/>
    <m/>
    <m/>
    <m/>
  </r>
  <r>
    <d v="2026-03-10T00:00:00"/>
    <s v="Reglement loyer du mois de Février 2026/3655240"/>
    <x v="7"/>
    <x v="2"/>
    <n v="500000"/>
    <n v="933.86376795353101"/>
    <n v="535.41"/>
    <x v="5"/>
    <s v="BQ-M-R28"/>
    <s v="PALF"/>
    <s v="Aspinall"/>
    <s v="CONGO"/>
    <m/>
    <m/>
    <m/>
  </r>
  <r>
    <d v="2026-03-10T00:00:00"/>
    <s v="Frais de virement salaire du mois de Janvier 2026"/>
    <x v="12"/>
    <x v="2"/>
    <n v="10665"/>
    <n v="19.919314170448818"/>
    <n v="535.41"/>
    <x v="5"/>
    <s v="BQ-M-R29"/>
    <s v="PALF"/>
    <s v="Aspinall"/>
    <s v="CONGO"/>
    <m/>
    <m/>
    <m/>
  </r>
  <r>
    <d v="2026-03-10T00:00:00"/>
    <s v="Frais de virement salaire du mois de Février 2026"/>
    <x v="12"/>
    <x v="2"/>
    <n v="10665"/>
    <n v="19.919314170448818"/>
    <n v="535.41"/>
    <x v="5"/>
    <s v="BQ-M-R30"/>
    <s v="PALF"/>
    <s v="Aspinall"/>
    <s v="CONGO"/>
    <m/>
    <m/>
    <m/>
  </r>
  <r>
    <d v="2026-03-11T00:00:00"/>
    <s v="Maison-DGEF"/>
    <x v="0"/>
    <x v="0"/>
    <n v="500"/>
    <n v="0.93858175869656413"/>
    <n v="532.71864210781655"/>
    <x v="0"/>
    <s v="DH-M-D1"/>
    <s v="PALF"/>
    <s v="Aspinall"/>
    <s v="CONGO"/>
    <m/>
    <m/>
    <m/>
  </r>
  <r>
    <d v="2026-03-11T00:00:00"/>
    <s v="Bureau-Ministere de la Justice"/>
    <x v="0"/>
    <x v="0"/>
    <n v="1000"/>
    <n v="1.8771635173931283"/>
    <n v="532.71864210781655"/>
    <x v="0"/>
    <s v="DH-M-D1"/>
    <s v="PALF"/>
    <s v="Aspinall"/>
    <s v="CONGO"/>
    <m/>
    <m/>
    <m/>
  </r>
  <r>
    <d v="2026-03-11T00:00:00"/>
    <s v="Ministere de la Justice - Bureau"/>
    <x v="0"/>
    <x v="0"/>
    <n v="1000"/>
    <n v="1.8771635173931283"/>
    <n v="532.71864210781655"/>
    <x v="0"/>
    <s v="DH-M-D1"/>
    <s v="PALF"/>
    <s v="Aspinall"/>
    <s v="CONGO"/>
    <m/>
    <m/>
    <m/>
  </r>
  <r>
    <d v="2026-03-11T00:00:00"/>
    <s v="Bureau - Parc Zoologique"/>
    <x v="0"/>
    <x v="0"/>
    <n v="1000"/>
    <n v="1.8677282335885521"/>
    <n v="535.40980000000002"/>
    <x v="0"/>
    <s v="DH-M-D1"/>
    <s v="PALF"/>
    <s v="Aspinall"/>
    <s v="CONGO"/>
    <m/>
    <m/>
    <m/>
  </r>
  <r>
    <d v="2026-03-11T00:00:00"/>
    <s v="Parc Zoologique - Maison"/>
    <x v="0"/>
    <x v="0"/>
    <n v="1000"/>
    <n v="1.8677282335885521"/>
    <n v="535.40980000000002"/>
    <x v="0"/>
    <s v="DH-M-D1"/>
    <s v="PALF"/>
    <s v="Aspinall"/>
    <s v="CONGO"/>
    <m/>
    <m/>
    <m/>
  </r>
  <r>
    <d v="2026-03-11T00:00:00"/>
    <s v="Reglement prestation de nettoyage  PALF du mois de Février 2026"/>
    <x v="8"/>
    <x v="2"/>
    <n v="80000"/>
    <n v="149.41820287256496"/>
    <n v="535.41"/>
    <x v="2"/>
    <s v="CA-M-R5"/>
    <s v="PALF"/>
    <s v="Aspinall"/>
    <s v="CONGO"/>
    <m/>
    <m/>
    <m/>
  </r>
  <r>
    <d v="2026-03-11T00:00:00"/>
    <s v="Taxi hotel-fatima,prospection"/>
    <x v="0"/>
    <x v="3"/>
    <n v="1000"/>
    <n v="1.867727535907062"/>
    <n v="535.41"/>
    <x v="6"/>
    <s v="P29-M-D1"/>
    <s v="PALF"/>
    <s v="Aspinall"/>
    <s v="CONGO"/>
    <m/>
    <m/>
    <m/>
  </r>
  <r>
    <d v="2026-03-11T00:00:00"/>
    <s v="Taxi fatima-bounda,prospection"/>
    <x v="0"/>
    <x v="3"/>
    <n v="1500"/>
    <n v="2.8015913038605929"/>
    <n v="535.41"/>
    <x v="6"/>
    <s v="P29-M-D1"/>
    <s v="PALF"/>
    <s v="Aspinall"/>
    <s v="CONGO"/>
    <m/>
    <m/>
    <m/>
  </r>
  <r>
    <d v="2026-03-11T00:00:00"/>
    <s v="Taxi bounda-cf,retrait des fonds"/>
    <x v="0"/>
    <x v="3"/>
    <n v="1500"/>
    <n v="2.8015913038605929"/>
    <n v="535.41"/>
    <x v="6"/>
    <s v="P29-M-D1"/>
    <s v="PALF"/>
    <s v="Aspinall"/>
    <s v="CONGO"/>
    <m/>
    <m/>
    <m/>
  </r>
  <r>
    <d v="2026-03-11T00:00:00"/>
    <s v="Taxi cf-sab,prospection"/>
    <x v="0"/>
    <x v="3"/>
    <n v="1000"/>
    <n v="1.867727535907062"/>
    <n v="535.41"/>
    <x v="6"/>
    <s v="P29-M-D1"/>
    <s v="PALF"/>
    <s v="Aspinall"/>
    <s v="CONGO"/>
    <m/>
    <m/>
    <m/>
  </r>
  <r>
    <d v="2026-03-11T00:00:00"/>
    <s v="Taxi sab-hotel"/>
    <x v="0"/>
    <x v="3"/>
    <n v="1000"/>
    <n v="1.867727535907062"/>
    <n v="535.41"/>
    <x v="6"/>
    <s v="P29-M-D1"/>
    <s v="PALF"/>
    <s v="Aspinall"/>
    <s v="CONGO"/>
    <m/>
    <m/>
    <m/>
  </r>
  <r>
    <d v="2026-03-11T00:00:00"/>
    <s v="Achat boisson "/>
    <x v="3"/>
    <x v="3"/>
    <n v="2000"/>
    <n v="3.735455071814124"/>
    <n v="535.41"/>
    <x v="6"/>
    <s v="P29-M-D5"/>
    <s v="PALF"/>
    <s v="Aspinall"/>
    <s v="CONGO"/>
    <m/>
    <m/>
    <m/>
  </r>
  <r>
    <d v="2026-03-11T00:00:00"/>
    <s v="T73- CONGO Ration du 11/03/2026 au 05/04/2026 à Ouesso; Pokola et Mboua (25 Nuitées)"/>
    <x v="5"/>
    <x v="3"/>
    <n v="250000"/>
    <n v="466.9318839767655"/>
    <n v="535.41"/>
    <x v="3"/>
    <s v="T73-M-D3"/>
    <s v="PALF"/>
    <s v="Aspinall"/>
    <s v="CONGO"/>
    <m/>
    <m/>
    <m/>
  </r>
  <r>
    <d v="2026-03-11T00:00:00"/>
    <s v="Taxi : domicile - agence transbony ( départ pour Ouesso)"/>
    <x v="0"/>
    <x v="3"/>
    <n v="1000"/>
    <n v="1.867727535907062"/>
    <n v="535.41"/>
    <x v="3"/>
    <s v="T73-M-D1"/>
    <s v="PALF"/>
    <s v="Aspinall"/>
    <s v="CONGO"/>
    <m/>
    <m/>
    <m/>
  </r>
  <r>
    <d v="2026-03-11T00:00:00"/>
    <s v="Taxi : agence transbony  - hotel"/>
    <x v="0"/>
    <x v="3"/>
    <n v="500"/>
    <n v="0.93386376795353099"/>
    <n v="535.41"/>
    <x v="3"/>
    <s v="T73-M-D1"/>
    <s v="PALF"/>
    <s v="Aspinall"/>
    <s v="CONGO"/>
    <m/>
    <m/>
    <m/>
  </r>
  <r>
    <d v="2026-03-11T00:00:00"/>
    <s v="Taxi moto : Hôtel - Place rouge/ Prospection"/>
    <x v="0"/>
    <x v="3"/>
    <n v="500"/>
    <n v="0.93386376795353099"/>
    <n v="535.41"/>
    <x v="4"/>
    <s v="IT87-M-D1"/>
    <s v="PALF"/>
    <s v="Aspinall"/>
    <s v="CONGO"/>
    <m/>
    <m/>
    <m/>
  </r>
  <r>
    <d v="2026-03-11T00:00:00"/>
    <s v="Taxi moto : Place rouge - Charden Farel/ Retrait du budget"/>
    <x v="0"/>
    <x v="3"/>
    <n v="400"/>
    <n v="0.74709101436282477"/>
    <n v="535.41"/>
    <x v="4"/>
    <s v="IT87-M-D1"/>
    <s v="PALF"/>
    <s v="Aspinall"/>
    <s v="CONGO"/>
    <m/>
    <m/>
    <m/>
  </r>
  <r>
    <d v="2026-03-11T00:00:00"/>
    <s v="Taxi moto : Charden Farel - Stade/ Prospection"/>
    <x v="0"/>
    <x v="3"/>
    <n v="500"/>
    <n v="0.93386376795353099"/>
    <n v="535.41"/>
    <x v="4"/>
    <s v="IT87-M-D1"/>
    <s v="PALF"/>
    <s v="Aspinall"/>
    <s v="CONGO"/>
    <m/>
    <m/>
    <m/>
  </r>
  <r>
    <d v="2026-03-11T00:00:00"/>
    <s v="Taxi moto : Stade - Boulevard/ Prospection"/>
    <x v="0"/>
    <x v="3"/>
    <n v="500"/>
    <n v="0.93386376795353099"/>
    <n v="535.41"/>
    <x v="4"/>
    <s v="IT87-M-D1"/>
    <s v="PALF"/>
    <s v="Aspinall"/>
    <s v="CONGO"/>
    <m/>
    <m/>
    <m/>
  </r>
  <r>
    <d v="2026-03-11T00:00:00"/>
    <s v="Taxi moto : Boulevard - Place rouge/ Rendez-vous avec les cibles"/>
    <x v="0"/>
    <x v="3"/>
    <n v="400"/>
    <n v="0.74709101436282477"/>
    <n v="535.41"/>
    <x v="4"/>
    <s v="IT87-M-D1"/>
    <s v="PALF"/>
    <s v="Aspinall"/>
    <s v="CONGO"/>
    <m/>
    <m/>
    <m/>
  </r>
  <r>
    <d v="2026-03-11T00:00:00"/>
    <s v="Achat boissons avec 04 cibles"/>
    <x v="3"/>
    <x v="3"/>
    <n v="5500"/>
    <n v="10.272501447488841"/>
    <n v="535.41"/>
    <x v="4"/>
    <s v="IT87-M-D2"/>
    <s v="PALF"/>
    <s v="Aspinall"/>
    <s v="CONGO"/>
    <m/>
    <m/>
    <m/>
  </r>
  <r>
    <d v="2026-03-11T00:00:00"/>
    <s v="Taxi moto : Place rouge - Hôtel/ Retour de prospection"/>
    <x v="0"/>
    <x v="3"/>
    <n v="500"/>
    <n v="0.93386376795353099"/>
    <n v="535.41"/>
    <x v="4"/>
    <s v="IT87-M-D1"/>
    <s v="PALF"/>
    <s v="Aspinall"/>
    <s v="CONGO"/>
    <m/>
    <m/>
    <m/>
  </r>
  <r>
    <d v="2026-03-11T00:00:00"/>
    <s v="Frais de tansfert d'argent  à P29, et IT87 par cf"/>
    <x v="9"/>
    <x v="2"/>
    <n v="6180"/>
    <n v="11.542556171905643"/>
    <n v="535.41"/>
    <x v="9"/>
    <s v="CA-M-R4"/>
    <s v="PALF"/>
    <s v="Aspinall"/>
    <s v="CONGO"/>
    <m/>
    <m/>
    <m/>
  </r>
  <r>
    <d v="2026-03-11T00:00:00"/>
    <s v="Taxi: Burau-Charden Farell"/>
    <x v="0"/>
    <x v="1"/>
    <n v="500"/>
    <n v="0.93386376795353099"/>
    <n v="535.41"/>
    <x v="9"/>
    <s v="RM-M-D1"/>
    <s v="PALF"/>
    <s v="Aspinall"/>
    <s v="CONGO"/>
    <m/>
    <m/>
    <m/>
  </r>
  <r>
    <d v="2026-03-11T00:00:00"/>
    <s v="Taxi: Charden Farell-Bureau"/>
    <x v="0"/>
    <x v="1"/>
    <n v="500"/>
    <n v="0.93386376795353099"/>
    <n v="535.41"/>
    <x v="9"/>
    <s v="RM-M-D1"/>
    <s v="PALF"/>
    <s v="Aspinall"/>
    <s v="CONGO"/>
    <m/>
    <m/>
    <m/>
  </r>
  <r>
    <d v="2026-03-12T00:00:00"/>
    <s v="Maison-Bureau"/>
    <x v="0"/>
    <x v="0"/>
    <n v="1000"/>
    <n v="1.8677282335885521"/>
    <n v="535.40980000000002"/>
    <x v="0"/>
    <s v="DH-M-D1"/>
    <s v="PALF"/>
    <s v="Aspinall"/>
    <s v="CONGO"/>
    <m/>
    <m/>
    <m/>
  </r>
  <r>
    <d v="2026-03-12T00:00:00"/>
    <s v="Bureau-Parc Zoologique"/>
    <x v="0"/>
    <x v="0"/>
    <n v="1000"/>
    <n v="1.8677282335885521"/>
    <n v="535.40980000000002"/>
    <x v="0"/>
    <s v="DH-M-D1"/>
    <s v="PALF"/>
    <s v="Aspinall"/>
    <s v="CONGO"/>
    <m/>
    <m/>
    <m/>
  </r>
  <r>
    <d v="2026-03-12T00:00:00"/>
    <s v="Parc Zoologique-Bureau"/>
    <x v="0"/>
    <x v="0"/>
    <n v="1000"/>
    <n v="1.8677282335885521"/>
    <n v="535.40980000000002"/>
    <x v="0"/>
    <s v="DH-M-D1"/>
    <s v="PALF"/>
    <s v="Aspinall"/>
    <s v="CONGO"/>
    <m/>
    <m/>
    <m/>
  </r>
  <r>
    <d v="2026-03-12T00:00:00"/>
    <s v="Bureau-Maison"/>
    <x v="0"/>
    <x v="0"/>
    <n v="1000"/>
    <n v="1.8677282335885521"/>
    <n v="535.40980000000002"/>
    <x v="0"/>
    <s v="DH-M-D1"/>
    <s v="PALF"/>
    <s v="Aspinall"/>
    <s v="CONGO"/>
    <m/>
    <m/>
    <m/>
  </r>
  <r>
    <d v="2026-03-12T00:00:00"/>
    <s v="Taxi:  Domicile- Société de gardiennage (PGS) /remise de chèque du mois de Janvier 2026"/>
    <x v="0"/>
    <x v="2"/>
    <n v="1000"/>
    <n v="1.867727535907062"/>
    <n v="535.41"/>
    <x v="2"/>
    <s v="P-M-D1"/>
    <s v="PALF"/>
    <s v="Aspinall"/>
    <s v="CONGO"/>
    <m/>
    <m/>
    <m/>
  </r>
  <r>
    <d v="2026-03-12T00:00:00"/>
    <s v="Taxi:  Societé de gardiennage  - Bureau"/>
    <x v="0"/>
    <x v="2"/>
    <n v="1000"/>
    <n v="1.867727535907062"/>
    <n v="535.41"/>
    <x v="2"/>
    <s v="P-M-D1"/>
    <s v="PALF"/>
    <s v="Aspinall"/>
    <s v="CONGO"/>
    <m/>
    <m/>
    <m/>
  </r>
  <r>
    <d v="2026-03-12T00:00:00"/>
    <s v="Taxi: Bureau -Banque BCI/ Rétrait espèces banque, appro caisse"/>
    <x v="0"/>
    <x v="2"/>
    <n v="1000"/>
    <n v="1.867727535907062"/>
    <n v="535.41"/>
    <x v="2"/>
    <s v="P-M-D1"/>
    <s v="PALF"/>
    <s v="Aspinall"/>
    <s v="CONGO"/>
    <m/>
    <m/>
    <m/>
  </r>
  <r>
    <d v="2026-03-12T00:00:00"/>
    <s v="Taxi: Banque BCI-Bureau"/>
    <x v="0"/>
    <x v="2"/>
    <n v="1000"/>
    <n v="1.867727535907062"/>
    <n v="535.41"/>
    <x v="2"/>
    <s v="P-M-D1"/>
    <s v="PALF"/>
    <s v="Aspinall"/>
    <s v="CONGO"/>
    <m/>
    <m/>
    <m/>
  </r>
  <r>
    <d v="2026-03-12T00:00:00"/>
    <s v="Taxi hotel-grand marché,prospection"/>
    <x v="0"/>
    <x v="3"/>
    <n v="1000"/>
    <n v="1.867727535907062"/>
    <n v="535.41"/>
    <x v="6"/>
    <s v="P29-M-D1"/>
    <s v="PALF"/>
    <s v="Aspinall"/>
    <s v="CONGO"/>
    <m/>
    <m/>
    <m/>
  </r>
  <r>
    <d v="2026-03-12T00:00:00"/>
    <s v="Taxi grand marché-4 points cardinaux,prospection"/>
    <x v="0"/>
    <x v="3"/>
    <n v="1500"/>
    <n v="2.8015913038605929"/>
    <n v="535.41"/>
    <x v="6"/>
    <s v="P29-M-D1"/>
    <s v="PALF"/>
    <s v="Aspinall"/>
    <s v="CONGO"/>
    <m/>
    <m/>
    <m/>
  </r>
  <r>
    <d v="2026-03-12T00:00:00"/>
    <s v="Taxi 4 points cardinaux-mon fleury,prospection"/>
    <x v="0"/>
    <x v="3"/>
    <n v="1000"/>
    <n v="1.867727535907062"/>
    <n v="535.41"/>
    <x v="6"/>
    <s v="P29-M-D1"/>
    <s v="PALF"/>
    <s v="Aspinall"/>
    <s v="CONGO"/>
    <m/>
    <m/>
    <m/>
  </r>
  <r>
    <d v="2026-03-12T00:00:00"/>
    <s v="Taxi mon fleury-capable,prospection"/>
    <x v="0"/>
    <x v="3"/>
    <n v="1000"/>
    <n v="1.867727535907062"/>
    <n v="535.41"/>
    <x v="6"/>
    <s v="P29-M-D1"/>
    <s v="PALF"/>
    <s v="Aspinall"/>
    <s v="CONGO"/>
    <m/>
    <m/>
    <m/>
  </r>
  <r>
    <d v="2026-03-12T00:00:00"/>
    <s v="Taxi capable-hotel"/>
    <x v="0"/>
    <x v="3"/>
    <n v="1000"/>
    <n v="1.867727535907062"/>
    <n v="535.41"/>
    <x v="6"/>
    <s v="P29-M-D1"/>
    <s v="PALF"/>
    <s v="Aspinall"/>
    <s v="CONGO"/>
    <m/>
    <m/>
    <m/>
  </r>
  <r>
    <d v="2026-03-12T00:00:00"/>
    <s v="Achat boisson "/>
    <x v="3"/>
    <x v="3"/>
    <n v="2000"/>
    <n v="3.735455071814124"/>
    <n v="535.41"/>
    <x v="6"/>
    <s v="P29-M-D5"/>
    <s v="PALF"/>
    <s v="Aspinall"/>
    <s v="CONGO"/>
    <m/>
    <m/>
    <m/>
  </r>
  <r>
    <d v="2026-03-12T00:00:00"/>
    <s v="T73 - CONGO Frais d'hotel du 11 au 12/03/2026 à Ouesso (01Nuitée)"/>
    <x v="5"/>
    <x v="3"/>
    <n v="10000"/>
    <n v="18.67727535907062"/>
    <n v="535.41"/>
    <x v="3"/>
    <s v="T73-M-R10"/>
    <s v="PALF"/>
    <s v="Aspinall"/>
    <s v="CONGO"/>
    <m/>
    <m/>
    <m/>
  </r>
  <r>
    <d v="2026-03-12T00:00:00"/>
    <s v="Taxi : hotel - port (départ pour Pokola)"/>
    <x v="0"/>
    <x v="3"/>
    <n v="500"/>
    <n v="0.93386376795353099"/>
    <n v="535.41"/>
    <x v="3"/>
    <s v="T73-M-D1"/>
    <s v="PALF"/>
    <s v="Aspinall"/>
    <s v="CONGO"/>
    <m/>
    <m/>
    <m/>
  </r>
  <r>
    <d v="2026-03-12T00:00:00"/>
    <s v="Achat billet : Ouesso - pokola/T73"/>
    <x v="4"/>
    <x v="3"/>
    <n v="2000"/>
    <n v="3.735455071814124"/>
    <n v="535.41"/>
    <x v="3"/>
    <s v="T73-M-R11"/>
    <s v="PALF"/>
    <s v="Aspinall"/>
    <s v="CONGO"/>
    <m/>
    <m/>
    <m/>
  </r>
  <r>
    <d v="2026-03-12T00:00:00"/>
    <s v="Traverser rivière sangha"/>
    <x v="0"/>
    <x v="3"/>
    <n v="1000"/>
    <n v="1.867727535907062"/>
    <n v="535.41"/>
    <x v="3"/>
    <s v="T73-M-D1"/>
    <s v="PALF"/>
    <s v="Aspinall"/>
    <s v="CONGO"/>
    <m/>
    <m/>
    <m/>
  </r>
  <r>
    <d v="2026-03-12T00:00:00"/>
    <s v="Taxi moto : gare routière - Hotel "/>
    <x v="0"/>
    <x v="3"/>
    <n v="500"/>
    <n v="0.93386376795353099"/>
    <n v="535.41"/>
    <x v="3"/>
    <s v="T73-M-D1"/>
    <s v="PALF"/>
    <s v="Aspinall"/>
    <s v="CONGO"/>
    <m/>
    <m/>
    <m/>
  </r>
  <r>
    <d v="2026-03-12T00:00:00"/>
    <s v="Taxi moto : Hotel - zone CIB ( prospection)"/>
    <x v="0"/>
    <x v="3"/>
    <n v="500"/>
    <n v="0.93386376795353099"/>
    <n v="535.41"/>
    <x v="3"/>
    <s v="T73-M-D1"/>
    <s v="PALF"/>
    <s v="Aspinall"/>
    <s v="CONGO"/>
    <m/>
    <m/>
    <m/>
  </r>
  <r>
    <d v="2026-03-12T00:00:00"/>
    <s v="Taxi moto : zone CIB - marché ( prospection)"/>
    <x v="0"/>
    <x v="3"/>
    <n v="500"/>
    <n v="0.93386376795353099"/>
    <n v="535.41"/>
    <x v="3"/>
    <s v="T73-M-D1"/>
    <s v="PALF"/>
    <s v="Aspinall"/>
    <s v="CONGO"/>
    <m/>
    <m/>
    <m/>
  </r>
  <r>
    <d v="2026-03-12T00:00:00"/>
    <s v="Taxi moto : marché - quartier centre ( prospection)"/>
    <x v="0"/>
    <x v="3"/>
    <n v="500"/>
    <n v="0.93386376795353099"/>
    <n v="535.41"/>
    <x v="3"/>
    <s v="T73-M-D1"/>
    <s v="PALF"/>
    <s v="Aspinall"/>
    <s v="CONGO"/>
    <m/>
    <m/>
    <m/>
  </r>
  <r>
    <d v="2026-03-12T00:00:00"/>
    <s v="Taxi moto : quartier centre - charden farel (recuperer fond)"/>
    <x v="0"/>
    <x v="3"/>
    <n v="500"/>
    <n v="0.93386376795353099"/>
    <n v="535.41"/>
    <x v="3"/>
    <s v="T73-M-D1"/>
    <s v="PALF"/>
    <s v="Aspinall"/>
    <s v="CONGO"/>
    <m/>
    <m/>
    <m/>
  </r>
  <r>
    <d v="2026-03-12T00:00:00"/>
    <s v="Taxi moto : charden farel - quartier centre( prospection)"/>
    <x v="0"/>
    <x v="3"/>
    <n v="500"/>
    <n v="0.93386376795353099"/>
    <n v="535.41"/>
    <x v="3"/>
    <s v="T73-M-D1"/>
    <s v="PALF"/>
    <s v="Aspinall"/>
    <s v="CONGO"/>
    <m/>
    <m/>
    <m/>
  </r>
  <r>
    <d v="2026-03-12T00:00:00"/>
    <s v="Taxi moto : quartier centre - hotel ( prospection)"/>
    <x v="0"/>
    <x v="3"/>
    <n v="500"/>
    <n v="0.93386376795353099"/>
    <n v="535.41"/>
    <x v="3"/>
    <s v="T73-M-D1"/>
    <s v="PALF"/>
    <s v="Aspinall"/>
    <s v="CONGO"/>
    <m/>
    <m/>
    <m/>
  </r>
  <r>
    <d v="2026-03-12T00:00:00"/>
    <s v="Achat boissons/ une cible"/>
    <x v="3"/>
    <x v="3"/>
    <n v="2000"/>
    <n v="3.735455071814124"/>
    <n v="535.41"/>
    <x v="3"/>
    <s v="T73-M-D2"/>
    <s v="PALF"/>
    <s v="Aspinall"/>
    <s v="CONGO"/>
    <m/>
    <m/>
    <m/>
  </r>
  <r>
    <d v="2026-03-12T00:00:00"/>
    <s v="Taxi moto : Hôtel - Quartier la gare/ Prospection"/>
    <x v="0"/>
    <x v="3"/>
    <n v="500"/>
    <n v="0.93386376795353099"/>
    <n v="535.41"/>
    <x v="4"/>
    <s v="IT87-M-D1"/>
    <s v="PALF"/>
    <s v="Aspinall"/>
    <s v="CONGO"/>
    <m/>
    <m/>
    <m/>
  </r>
  <r>
    <d v="2026-03-12T00:00:00"/>
    <s v="Taxi moto : La gare - Mabombo/ Prospection"/>
    <x v="0"/>
    <x v="3"/>
    <n v="400"/>
    <n v="0.74709101436282477"/>
    <n v="535.41"/>
    <x v="4"/>
    <s v="IT87-M-D1"/>
    <s v="PALF"/>
    <s v="Aspinall"/>
    <s v="CONGO"/>
    <m/>
    <m/>
    <m/>
  </r>
  <r>
    <d v="2026-03-12T00:00:00"/>
    <s v="Achat boissons avec une cible"/>
    <x v="3"/>
    <x v="3"/>
    <n v="1650"/>
    <n v="3.0817504342466524"/>
    <n v="535.41"/>
    <x v="4"/>
    <s v="IT87-M-D2"/>
    <s v="PALF"/>
    <s v="Aspinall"/>
    <s v="CONGO"/>
    <m/>
    <m/>
    <m/>
  </r>
  <r>
    <d v="2026-03-12T00:00:00"/>
    <s v="Taxi moto : Mabombo - Quartier 1/ Prospection"/>
    <x v="0"/>
    <x v="3"/>
    <n v="500"/>
    <n v="0.93386376795353099"/>
    <n v="535.41"/>
    <x v="4"/>
    <s v="IT87-M-D1"/>
    <s v="PALF"/>
    <s v="Aspinall"/>
    <s v="CONGO"/>
    <m/>
    <m/>
    <m/>
  </r>
  <r>
    <d v="2026-03-12T00:00:00"/>
    <s v="Taxi moto : Quartier Mabombo - Place rouge/ Prospection"/>
    <x v="0"/>
    <x v="3"/>
    <n v="400"/>
    <n v="0.74709101436282477"/>
    <n v="535.41"/>
    <x v="4"/>
    <s v="IT87-M-D1"/>
    <s v="PALF"/>
    <s v="Aspinall"/>
    <s v="CONGO"/>
    <m/>
    <m/>
    <m/>
  </r>
  <r>
    <d v="2026-03-12T00:00:00"/>
    <s v="Taxi moto : Place rouge - Hôtel/ Retour de prospection"/>
    <x v="0"/>
    <x v="3"/>
    <n v="500"/>
    <n v="0.93386376795353099"/>
    <n v="535.41"/>
    <x v="4"/>
    <s v="IT87-M-D1"/>
    <s v="PALF"/>
    <s v="Aspinall"/>
    <s v="CONGO"/>
    <m/>
    <m/>
    <m/>
  </r>
  <r>
    <d v="2026-03-12T00:00:00"/>
    <s v="Frais de tansfert d'argent  à T73 par cf"/>
    <x v="9"/>
    <x v="2"/>
    <n v="3390"/>
    <n v="6.3315963467249405"/>
    <n v="535.41"/>
    <x v="9"/>
    <s v="CA-M-R6"/>
    <s v="PALF"/>
    <s v="Aspinall"/>
    <s v="CONGO"/>
    <m/>
    <m/>
    <m/>
  </r>
  <r>
    <d v="2026-03-12T00:00:00"/>
    <s v="Achat de 10 bonbonne d'eau mineral 10 LITRES/Bureau"/>
    <x v="10"/>
    <x v="2"/>
    <n v="24000"/>
    <n v="44.825460861769486"/>
    <n v="535.41"/>
    <x v="9"/>
    <s v="CA-M-R7"/>
    <s v="PALF"/>
    <s v="Aspinall"/>
    <s v="CONGO"/>
    <m/>
    <m/>
    <m/>
  </r>
  <r>
    <d v="2026-03-12T00:00:00"/>
    <s v="Taxi: Bureau-Charden Farel"/>
    <x v="0"/>
    <x v="1"/>
    <n v="500"/>
    <n v="0.93386376795353099"/>
    <n v="535.41"/>
    <x v="9"/>
    <s v="RM-M-D1"/>
    <s v="PALF"/>
    <s v="Aspinall"/>
    <s v="CONGO"/>
    <m/>
    <m/>
    <m/>
  </r>
  <r>
    <d v="2026-03-12T00:00:00"/>
    <s v="Taxi: Charden Farell-Bureau"/>
    <x v="0"/>
    <x v="1"/>
    <n v="500"/>
    <n v="0.93386376795353099"/>
    <n v="535.41"/>
    <x v="9"/>
    <s v="RM-M-D1"/>
    <s v="PALF"/>
    <s v="Aspinall"/>
    <s v="CONGO"/>
    <m/>
    <m/>
    <m/>
  </r>
  <r>
    <d v="2026-03-13T00:00:00"/>
    <s v="Maison-DGEF"/>
    <x v="0"/>
    <x v="0"/>
    <n v="1000"/>
    <n v="1.8677282335885521"/>
    <n v="535.40980000000002"/>
    <x v="0"/>
    <s v="DH-M-D1"/>
    <s v="PALF"/>
    <s v="Aspinall"/>
    <s v="CONGO"/>
    <m/>
    <m/>
    <m/>
  </r>
  <r>
    <d v="2026-03-13T00:00:00"/>
    <s v="DGEF-Bureau"/>
    <x v="0"/>
    <x v="0"/>
    <n v="1000"/>
    <n v="1.8677282335885521"/>
    <n v="535.40980000000002"/>
    <x v="0"/>
    <s v="DH-M-D1"/>
    <s v="PALF"/>
    <s v="Aspinall"/>
    <s v="CONGO"/>
    <m/>
    <m/>
    <m/>
  </r>
  <r>
    <d v="2026-03-13T00:00:00"/>
    <s v="Bureau-Maison"/>
    <x v="0"/>
    <x v="0"/>
    <n v="1000"/>
    <n v="1.8677282335885521"/>
    <n v="535.40980000000002"/>
    <x v="0"/>
    <s v="DH-M-D1"/>
    <s v="PALF"/>
    <s v="Aspinall"/>
    <s v="CONGO"/>
    <m/>
    <m/>
    <m/>
  </r>
  <r>
    <d v="2026-03-13T00:00:00"/>
    <s v="P29 -CONGO Frais d'hotel du 10 au 13/03/2026 à dolisie(3 Nuitées)"/>
    <x v="5"/>
    <x v="3"/>
    <n v="30000"/>
    <n v="56.031826077211861"/>
    <n v="535.41"/>
    <x v="6"/>
    <s v="P29-M-R4"/>
    <s v="PALF"/>
    <s v="Aspinall"/>
    <s v="CONGO"/>
    <m/>
    <m/>
    <m/>
  </r>
  <r>
    <d v="2026-03-13T00:00:00"/>
    <s v="Achat billet Dolisie-kimongo"/>
    <x v="4"/>
    <x v="3"/>
    <n v="3500"/>
    <n v="6.5370463756747172"/>
    <n v="535.41"/>
    <x v="6"/>
    <s v="P29-M-R5"/>
    <s v="PALF"/>
    <s v="Aspinall"/>
    <s v="CONGO"/>
    <m/>
    <m/>
    <m/>
  </r>
  <r>
    <d v="2026-03-13T00:00:00"/>
    <s v="Taxi hotel-parking,départ pour kimongo"/>
    <x v="0"/>
    <x v="3"/>
    <n v="1000"/>
    <n v="1.867727535907062"/>
    <n v="535.41"/>
    <x v="6"/>
    <s v="P29-M-D1"/>
    <s v="PALF"/>
    <s v="Aspinall"/>
    <s v="CONGO"/>
    <m/>
    <m/>
    <m/>
  </r>
  <r>
    <d v="2026-03-13T00:00:00"/>
    <s v="Taxi moto parking-hotel,arrivé à kimongo"/>
    <x v="0"/>
    <x v="3"/>
    <n v="500"/>
    <n v="0.93386376795353099"/>
    <n v="535.41"/>
    <x v="6"/>
    <s v="P29-M-D1"/>
    <s v="PALF"/>
    <s v="Aspinall"/>
    <s v="CONGO"/>
    <m/>
    <m/>
    <m/>
  </r>
  <r>
    <d v="2026-03-13T00:00:00"/>
    <s v="Taxi moto hotel-poste,prospection"/>
    <x v="0"/>
    <x v="3"/>
    <n v="500"/>
    <n v="0.93386376795353099"/>
    <n v="535.41"/>
    <x v="6"/>
    <s v="P29-M-D1"/>
    <s v="PALF"/>
    <s v="Aspinall"/>
    <s v="CONGO"/>
    <m/>
    <m/>
    <m/>
  </r>
  <r>
    <d v="2026-03-13T00:00:00"/>
    <s v="Taxi moto poste-armée du salut,prospection"/>
    <x v="0"/>
    <x v="3"/>
    <n v="500"/>
    <n v="0.93386376795353099"/>
    <n v="535.41"/>
    <x v="6"/>
    <s v="P29-M-D1"/>
    <s v="PALF"/>
    <s v="Aspinall"/>
    <s v="CONGO"/>
    <m/>
    <m/>
    <m/>
  </r>
  <r>
    <d v="2026-03-13T00:00:00"/>
    <s v="Taxi moto armée du salut-hotel"/>
    <x v="0"/>
    <x v="3"/>
    <n v="500"/>
    <n v="0.93386376795353099"/>
    <n v="535.41"/>
    <x v="6"/>
    <s v="P29-M-D1"/>
    <s v="PALF"/>
    <s v="Aspinall"/>
    <s v="CONGO"/>
    <m/>
    <m/>
    <m/>
  </r>
  <r>
    <d v="2026-03-13T00:00:00"/>
    <s v="Achat boisson"/>
    <x v="3"/>
    <x v="3"/>
    <n v="2000"/>
    <n v="3.735455071814124"/>
    <n v="535.41"/>
    <x v="6"/>
    <s v="P29-M-D5"/>
    <s v="PALF"/>
    <s v="Aspinall"/>
    <s v="CONGO"/>
    <m/>
    <m/>
    <m/>
  </r>
  <r>
    <d v="2026-03-13T00:00:00"/>
    <s v="Taxi moto : hotel - zone MTN ( prospection)"/>
    <x v="0"/>
    <x v="3"/>
    <n v="500"/>
    <n v="0.93386376795353099"/>
    <n v="535.41"/>
    <x v="3"/>
    <s v="T73-M-D1"/>
    <s v="PALF"/>
    <s v="Aspinall"/>
    <s v="CONGO"/>
    <m/>
    <m/>
    <m/>
  </r>
  <r>
    <d v="2026-03-13T00:00:00"/>
    <s v="Taxi moto : zone MTN - marché ( prospection)"/>
    <x v="0"/>
    <x v="3"/>
    <n v="500"/>
    <n v="0.93386376795353099"/>
    <n v="535.41"/>
    <x v="3"/>
    <s v="T73-M-D1"/>
    <s v="PALF"/>
    <s v="Aspinall"/>
    <s v="CONGO"/>
    <m/>
    <m/>
    <m/>
  </r>
  <r>
    <d v="2026-03-13T00:00:00"/>
    <s v="Taxi moto : marché - gare routière ( prospection)"/>
    <x v="0"/>
    <x v="3"/>
    <n v="500"/>
    <n v="0.93386376795353099"/>
    <n v="535.41"/>
    <x v="3"/>
    <s v="T73-M-D1"/>
    <s v="PALF"/>
    <s v="Aspinall"/>
    <s v="CONGO"/>
    <m/>
    <m/>
    <m/>
  </r>
  <r>
    <d v="2026-03-13T00:00:00"/>
    <s v="Taxi moto : gare routière - hotel (libéré la chambre)"/>
    <x v="0"/>
    <x v="3"/>
    <n v="500"/>
    <n v="0.93386376795353099"/>
    <n v="535.41"/>
    <x v="3"/>
    <s v="T73-M-D1"/>
    <s v="PALF"/>
    <s v="Aspinall"/>
    <s v="CONGO"/>
    <m/>
    <m/>
    <m/>
  </r>
  <r>
    <d v="2026-03-13T00:00:00"/>
    <s v="Taxi moto : hotel - gare routiàre (libéré la chambre)"/>
    <x v="0"/>
    <x v="3"/>
    <n v="500"/>
    <n v="0.93386376795353099"/>
    <n v="535.41"/>
    <x v="3"/>
    <s v="T73-M-D1"/>
    <s v="PALF"/>
    <s v="Aspinall"/>
    <s v="CONGO"/>
    <m/>
    <m/>
    <m/>
  </r>
  <r>
    <d v="2026-03-13T00:00:00"/>
    <s v="T73 - CONGO Frais d'hotel du 12 au 13/03/2026 à Pokola (01Nuitée)"/>
    <x v="5"/>
    <x v="3"/>
    <n v="10000"/>
    <n v="18.67727535907062"/>
    <n v="535.41"/>
    <x v="3"/>
    <s v="T73-M-R12"/>
    <s v="PALF"/>
    <s v="Aspinall"/>
    <s v="CONGO"/>
    <m/>
    <m/>
    <m/>
  </r>
  <r>
    <d v="2026-03-13T00:00:00"/>
    <s v="Achat billet : Pokolo - Mboua/T73"/>
    <x v="4"/>
    <x v="3"/>
    <n v="10000"/>
    <n v="18.67727535907062"/>
    <n v="535.41"/>
    <x v="3"/>
    <s v="T73-M-R13"/>
    <s v="PALF"/>
    <s v="Aspinall"/>
    <s v="CONGO"/>
    <m/>
    <m/>
    <m/>
  </r>
  <r>
    <d v="2026-03-13T00:00:00"/>
    <s v="IT87- CONGO Frais d'hôtel  du 10 au 13/03/2026 à Sibiti (03 nuitées)"/>
    <x v="5"/>
    <x v="3"/>
    <n v="30000"/>
    <n v="56.031826077211861"/>
    <n v="535.41"/>
    <x v="4"/>
    <s v="IT87-M-R10"/>
    <s v="PALF"/>
    <s v="Aspinall"/>
    <s v="CONGO"/>
    <m/>
    <m/>
    <m/>
  </r>
  <r>
    <d v="2026-03-13T00:00:00"/>
    <s v="Taxi moto : Hôtel - Gare routière/ Départ pour Zanaga"/>
    <x v="0"/>
    <x v="3"/>
    <n v="500"/>
    <n v="0.93386376795353099"/>
    <n v="535.41"/>
    <x v="4"/>
    <s v="IT87-M-D1"/>
    <s v="PALF"/>
    <s v="Aspinall"/>
    <s v="CONGO"/>
    <m/>
    <m/>
    <m/>
  </r>
  <r>
    <d v="2026-03-13T00:00:00"/>
    <s v="Achat billet Sibiti - Zanaga/ IT87"/>
    <x v="4"/>
    <x v="3"/>
    <n v="9000"/>
    <n v="16.809547823163559"/>
    <n v="535.41"/>
    <x v="4"/>
    <s v="IT87-M-R11"/>
    <s v="PALF"/>
    <s v="Aspinall"/>
    <s v="CONGO"/>
    <m/>
    <m/>
    <m/>
  </r>
  <r>
    <d v="2026-03-13T00:00:00"/>
    <s v="Taxi moto : Gare routière - Hôtel/ Arrivé à Zanaga"/>
    <x v="0"/>
    <x v="3"/>
    <n v="500"/>
    <n v="0.93386376795353099"/>
    <n v="535.41"/>
    <x v="4"/>
    <s v="IT87-M-D1"/>
    <s v="PALF"/>
    <s v="Aspinall"/>
    <s v="CONGO"/>
    <m/>
    <m/>
    <m/>
  </r>
  <r>
    <d v="2026-03-13T00:00:00"/>
    <s v="Bonus media portant sur le bilan des activités PALF de l'année 2025 pieces presse Internet (https://www.panoramik-actu.com)"/>
    <x v="13"/>
    <x v="4"/>
    <n v="6000"/>
    <n v="11.206365215442371"/>
    <n v="535.41"/>
    <x v="8"/>
    <s v="CA-M-D7"/>
    <s v="PALF"/>
    <s v="Aspinall"/>
    <s v="CONGO"/>
    <m/>
    <m/>
    <m/>
  </r>
  <r>
    <d v="2026-03-13T00:00:00"/>
    <s v="Bonus media portant sur le bilan des activités PALF de l'année 2025 pieces presse Internet(https://www.tribune-eco.cg)"/>
    <x v="13"/>
    <x v="4"/>
    <n v="6000"/>
    <n v="11.206365215442371"/>
    <n v="535.41"/>
    <x v="8"/>
    <s v="CA-M-D7"/>
    <s v="PALF"/>
    <s v="Aspinall"/>
    <s v="CONGO"/>
    <m/>
    <m/>
    <m/>
  </r>
  <r>
    <d v="2026-03-13T00:00:00"/>
    <s v="Bonus media portant sur le bilan des activités PALF de l'année 2025 pieces presse Internet(https://www.groupecongomedias.com)"/>
    <x v="13"/>
    <x v="4"/>
    <n v="6000"/>
    <n v="11.206365215442371"/>
    <n v="535.41"/>
    <x v="8"/>
    <s v="CA-M-D7"/>
    <s v="PALF"/>
    <s v="Aspinall"/>
    <s v="CONGO"/>
    <m/>
    <m/>
    <m/>
  </r>
  <r>
    <d v="2026-03-13T00:00:00"/>
    <s v="Bonus media portant sur le bilan des activités PALF de l'année 2025 pieces presse Internet (https://www.labreveonline.com)"/>
    <x v="13"/>
    <x v="4"/>
    <n v="6000"/>
    <n v="11.206365215442371"/>
    <n v="535.41"/>
    <x v="8"/>
    <s v="CA-M-D7"/>
    <s v="PALF"/>
    <s v="Aspinall"/>
    <s v="CONGO"/>
    <m/>
    <m/>
    <m/>
  </r>
  <r>
    <d v="2026-03-13T00:00:00"/>
    <s v="Bonus media portant sur le bilan des activités PALF de l'année 2025 pieces presse Internet (https://www.adiac-congo.com)"/>
    <x v="13"/>
    <x v="4"/>
    <n v="6000"/>
    <n v="11.206365215442371"/>
    <n v="535.41"/>
    <x v="8"/>
    <s v="CA-M-D7"/>
    <s v="PALF"/>
    <s v="Aspinall"/>
    <s v="CONGO"/>
    <m/>
    <m/>
    <m/>
  </r>
  <r>
    <d v="2026-03-13T00:00:00"/>
    <s v="Bonus media portant sur le bilan des activités PALF de l'année 2025 pieces presse Internet (https://www.lasemaineafricaine.info)"/>
    <x v="13"/>
    <x v="4"/>
    <n v="6000"/>
    <n v="11.206365215442371"/>
    <n v="535.41"/>
    <x v="8"/>
    <s v="CA-M-D7"/>
    <s v="PALF"/>
    <s v="Aspinall"/>
    <s v="CONGO"/>
    <m/>
    <m/>
    <m/>
  </r>
  <r>
    <d v="2026-03-13T00:00:00"/>
    <s v="Bonus media portant sur le bilan des activités PALF de l'année 2025 pieces presse Internet (https://www.matinlibre.cg)"/>
    <x v="13"/>
    <x v="4"/>
    <n v="6000"/>
    <n v="11.206365215442371"/>
    <n v="535.41"/>
    <x v="8"/>
    <s v="CA-M-D7"/>
    <s v="PALF"/>
    <s v="Aspinall"/>
    <s v="CONGO"/>
    <m/>
    <m/>
    <m/>
  </r>
  <r>
    <d v="2026-03-13T00:00:00"/>
    <s v="Bonus media portant sur le bilan des activités PALF de l'année 2025 pieces presse Internet (https://www.firstmediac.com)"/>
    <x v="13"/>
    <x v="4"/>
    <n v="6000"/>
    <n v="11.206365215442371"/>
    <n v="535.41"/>
    <x v="8"/>
    <s v="CA-M-D7"/>
    <s v="PALF"/>
    <s v="Aspinall"/>
    <s v="CONGO"/>
    <m/>
    <m/>
    <m/>
  </r>
  <r>
    <d v="2026-03-13T00:00:00"/>
    <s v="Bonus media portant sur le bilan des activités PALF de l'année 2025 pieces presse Internet (https://www.journaldebrazza.com)"/>
    <x v="13"/>
    <x v="4"/>
    <n v="6000"/>
    <n v="11.206365215442371"/>
    <n v="535.41"/>
    <x v="8"/>
    <s v="CA-M-D7"/>
    <s v="PALF"/>
    <s v="Aspinall"/>
    <s v="CONGO"/>
    <m/>
    <m/>
    <m/>
  </r>
  <r>
    <d v="2026-03-13T00:00:00"/>
    <s v="Bonus media portant sur le bilan des activités PALF de l'année 2025 pieces presse Internet (https://vmmedias.info)"/>
    <x v="13"/>
    <x v="4"/>
    <n v="6000"/>
    <n v="11.206365215442371"/>
    <n v="535.41"/>
    <x v="8"/>
    <s v="CA-M-D7"/>
    <s v="PALF"/>
    <s v="Aspinall"/>
    <s v="CONGO"/>
    <m/>
    <m/>
    <m/>
  </r>
  <r>
    <d v="2026-03-13T00:00:00"/>
    <s v="Bonus media portant sur le bilan des activités PALF de l'année 2025 pieces presse Internet (https://aci.cg)"/>
    <x v="13"/>
    <x v="4"/>
    <n v="6000"/>
    <n v="11.206365215442371"/>
    <n v="535.41"/>
    <x v="8"/>
    <s v="CA-M-D7"/>
    <s v="PALF"/>
    <s v="Aspinall"/>
    <s v="CONGO"/>
    <m/>
    <m/>
    <m/>
  </r>
  <r>
    <d v="2026-03-13T00:00:00"/>
    <s v="Bonus media portant sur le bilan des activités PALF de l'année 2025 pieces presse Internet (https://lesechos-congobrazza.com/)"/>
    <x v="13"/>
    <x v="4"/>
    <n v="6000"/>
    <n v="11.206365215442371"/>
    <n v="535.41"/>
    <x v="8"/>
    <s v="CA-M-D7"/>
    <s v="PALF"/>
    <s v="Aspinall"/>
    <s v="CONGO"/>
    <m/>
    <m/>
    <m/>
  </r>
  <r>
    <d v="2026-03-13T00:00:00"/>
    <s v="Bonus media portant sur le bilan des activités PALF de l'année 2025 pieces presse Internet (https://opinionpublique.cg)"/>
    <x v="13"/>
    <x v="4"/>
    <n v="6000"/>
    <n v="11.206365215442371"/>
    <n v="535.41"/>
    <x v="8"/>
    <s v="CA-M-D7"/>
    <s v="PALF"/>
    <s v="Aspinall"/>
    <s v="CONGO"/>
    <m/>
    <m/>
    <m/>
  </r>
  <r>
    <d v="2026-03-13T00:00:00"/>
    <s v="Bonus media portant sur le bilan des activités PALF de l'année 2025 pieces presse Internet (https://www.lhorizonafricain.com)"/>
    <x v="13"/>
    <x v="4"/>
    <n v="6000"/>
    <n v="11.206365215442371"/>
    <n v="535.41"/>
    <x v="8"/>
    <s v="CA-M-D7"/>
    <s v="PALF"/>
    <s v="Aspinall"/>
    <s v="CONGO"/>
    <m/>
    <m/>
    <m/>
  </r>
  <r>
    <d v="2026-03-13T00:00:00"/>
    <s v="Bonus media portant sur le bilan des activités PALF de l'année 2025 pieces presse papier (les depêches de brazzaville)"/>
    <x v="13"/>
    <x v="4"/>
    <n v="10000"/>
    <n v="18.67727535907062"/>
    <n v="535.41"/>
    <x v="8"/>
    <s v="CA-M-D8"/>
    <s v="PALF"/>
    <s v="Aspinall"/>
    <s v="CONGO"/>
    <m/>
    <m/>
    <m/>
  </r>
  <r>
    <d v="2026-03-13T00:00:00"/>
    <s v="Bonus media portant sur le bilan des activités PALF de l'année 2025 pieces presse papier( la Semaine Africaine)"/>
    <x v="13"/>
    <x v="4"/>
    <n v="10000"/>
    <n v="18.67727535907062"/>
    <n v="535.41"/>
    <x v="8"/>
    <s v="CA-M-D8"/>
    <s v="PALF"/>
    <s v="Aspinall"/>
    <s v="CONGO"/>
    <m/>
    <m/>
    <m/>
  </r>
  <r>
    <d v="2026-03-13T00:00:00"/>
    <s v="Bonus media portant sur le bilan des activités PALF de l'année 2025 pieces presse papier  l'horizion africain"/>
    <x v="13"/>
    <x v="4"/>
    <n v="10000"/>
    <n v="18.67727535907062"/>
    <n v="535.41"/>
    <x v="8"/>
    <s v="CA-M-D8"/>
    <s v="PALF"/>
    <s v="Aspinall"/>
    <s v="CONGO"/>
    <m/>
    <m/>
    <m/>
  </r>
  <r>
    <d v="2026-03-13T00:00:00"/>
    <s v="Bonus media portant sur le bilan des activités PALF de l'année 2025 pieces presse papier l'Agence Congolaise de l'Information"/>
    <x v="13"/>
    <x v="4"/>
    <n v="10000"/>
    <n v="18.67727535907062"/>
    <n v="535.41"/>
    <x v="8"/>
    <s v="CA-M-D8"/>
    <s v="PALF"/>
    <s v="Aspinall"/>
    <s v="CONGO"/>
    <m/>
    <m/>
    <m/>
  </r>
  <r>
    <d v="2026-03-13T00:00:00"/>
    <s v="Bonus media portant sur le bilan des activités PALF de l'année 2025 presse Radio citoyenne des jeunes"/>
    <x v="13"/>
    <x v="4"/>
    <n v="6000"/>
    <n v="11.206365215442371"/>
    <n v="535.41"/>
    <x v="8"/>
    <s v="CA-M-D9"/>
    <s v="PALF"/>
    <s v="Aspinall"/>
    <s v="CONGO"/>
    <m/>
    <m/>
    <m/>
  </r>
  <r>
    <d v="2026-03-13T00:00:00"/>
    <s v="Bonus media portant sur le bilan des activités PALF de l'année 2025 presse Radio Liberté ( 03 pièces: français, Kituba, et Lingala"/>
    <x v="13"/>
    <x v="4"/>
    <n v="18000"/>
    <n v="33.619095646327118"/>
    <n v="535.41"/>
    <x v="8"/>
    <s v="CA-M-D9"/>
    <s v="PALF"/>
    <s v="Aspinall"/>
    <s v="CONGO"/>
    <m/>
    <m/>
    <m/>
  </r>
  <r>
    <d v="2026-03-14T00:00:00"/>
    <s v="Maison-Bureau"/>
    <x v="0"/>
    <x v="0"/>
    <n v="1000"/>
    <n v="1.8677282335885521"/>
    <n v="535.40980000000002"/>
    <x v="0"/>
    <s v="DH-M-D1"/>
    <s v="PALF"/>
    <s v="Aspinall"/>
    <s v="CONGO"/>
    <m/>
    <m/>
    <m/>
  </r>
  <r>
    <d v="2026-03-14T00:00:00"/>
    <s v="Bureau-Maison"/>
    <x v="0"/>
    <x v="0"/>
    <n v="1000"/>
    <n v="1.8677282335885521"/>
    <n v="535.40980000000002"/>
    <x v="0"/>
    <s v="DH-M-D1"/>
    <s v="PALF"/>
    <s v="Aspinall"/>
    <s v="CONGO"/>
    <m/>
    <m/>
    <m/>
  </r>
  <r>
    <d v="2026-03-14T00:00:00"/>
    <s v="P29 -CONGO Frais d'hotel du 13 au 14/03/2026 à kimongo(1 Nuitée)"/>
    <x v="5"/>
    <x v="3"/>
    <n v="10000"/>
    <n v="18.67727535907062"/>
    <n v="535.41"/>
    <x v="6"/>
    <s v="P29-M-R6"/>
    <s v="PALF"/>
    <s v="Aspinall"/>
    <s v="CONGO"/>
    <m/>
    <m/>
    <m/>
  </r>
  <r>
    <d v="2026-03-14T00:00:00"/>
    <s v="Achat billet kimongo-dolisie"/>
    <x v="4"/>
    <x v="3"/>
    <n v="3500"/>
    <n v="6.5370463756747172"/>
    <n v="535.41"/>
    <x v="6"/>
    <s v="P29-M-R7"/>
    <s v="PALF"/>
    <s v="Aspinall"/>
    <s v="CONGO"/>
    <m/>
    <m/>
    <m/>
  </r>
  <r>
    <d v="2026-03-14T00:00:00"/>
    <s v="Taxi moto hotel-parking,départ pour dolisie"/>
    <x v="0"/>
    <x v="3"/>
    <n v="500"/>
    <n v="0.93386376795353099"/>
    <n v="535.41"/>
    <x v="6"/>
    <s v="P29-M-D1"/>
    <s v="PALF"/>
    <s v="Aspinall"/>
    <s v="CONGO"/>
    <m/>
    <m/>
    <m/>
  </r>
  <r>
    <d v="2026-03-14T00:00:00"/>
    <s v="Taxi parking-hotel,arrivé à dolisie"/>
    <x v="0"/>
    <x v="3"/>
    <n v="1000"/>
    <n v="1.867727535907062"/>
    <n v="535.41"/>
    <x v="6"/>
    <s v="P29-M-D1"/>
    <s v="PALF"/>
    <s v="Aspinall"/>
    <s v="CONGO"/>
    <m/>
    <m/>
    <m/>
  </r>
  <r>
    <d v="2026-03-14T00:00:00"/>
    <s v="Taxi hotel-bacongo,prospection"/>
    <x v="0"/>
    <x v="3"/>
    <n v="1000"/>
    <n v="1.867727535907062"/>
    <n v="535.41"/>
    <x v="6"/>
    <s v="P29-M-D1"/>
    <s v="PALF"/>
    <s v="Aspinall"/>
    <s v="CONGO"/>
    <m/>
    <m/>
    <m/>
  </r>
  <r>
    <d v="2026-03-14T00:00:00"/>
    <s v="Taxi bacongo-tahiti,prospection"/>
    <x v="0"/>
    <x v="3"/>
    <n v="1000"/>
    <n v="1.867727535907062"/>
    <n v="535.41"/>
    <x v="6"/>
    <s v="P29-M-D1"/>
    <s v="PALF"/>
    <s v="Aspinall"/>
    <s v="CONGO"/>
    <m/>
    <m/>
    <m/>
  </r>
  <r>
    <d v="2026-03-14T00:00:00"/>
    <s v="Taxi tahiti-capable,prospection"/>
    <x v="0"/>
    <x v="3"/>
    <n v="1000"/>
    <n v="1.867727535907062"/>
    <n v="535.41"/>
    <x v="6"/>
    <s v="P29-M-D1"/>
    <s v="PALF"/>
    <s v="Aspinall"/>
    <s v="CONGO"/>
    <m/>
    <m/>
    <m/>
  </r>
  <r>
    <d v="2026-03-14T00:00:00"/>
    <s v="Taxi capable-hotel"/>
    <x v="0"/>
    <x v="3"/>
    <n v="1000"/>
    <n v="1.867727535907062"/>
    <n v="535.41"/>
    <x v="6"/>
    <s v="P29-M-D1"/>
    <s v="PALF"/>
    <s v="Aspinall"/>
    <s v="CONGO"/>
    <m/>
    <m/>
    <m/>
  </r>
  <r>
    <d v="2026-03-14T00:00:00"/>
    <s v="Achat boisson"/>
    <x v="3"/>
    <x v="3"/>
    <n v="2000"/>
    <n v="3.735455071814124"/>
    <n v="535.41"/>
    <x v="6"/>
    <s v="P29-M-D5"/>
    <s v="PALF"/>
    <s v="Aspinall"/>
    <s v="CONGO"/>
    <m/>
    <m/>
    <m/>
  </r>
  <r>
    <d v="2026-03-14T00:00:00"/>
    <s v="Taxi moto : parking - hotel"/>
    <x v="0"/>
    <x v="3"/>
    <n v="500"/>
    <n v="0.93386376795353099"/>
    <n v="535.41"/>
    <x v="3"/>
    <s v="T73-M-D1"/>
    <s v="PALF"/>
    <s v="Aspinall"/>
    <s v="CONGO"/>
    <m/>
    <m/>
    <m/>
  </r>
  <r>
    <d v="2026-03-14T00:00:00"/>
    <s v="Taxi moto : hotel - marché (prospection)"/>
    <x v="0"/>
    <x v="3"/>
    <n v="500"/>
    <n v="0.93386376795353099"/>
    <n v="535.41"/>
    <x v="3"/>
    <s v="T73-M-D1"/>
    <s v="PALF"/>
    <s v="Aspinall"/>
    <s v="CONGO"/>
    <m/>
    <m/>
    <m/>
  </r>
  <r>
    <d v="2026-03-14T00:00:00"/>
    <s v="Taxi moto : marché - port (prospection)"/>
    <x v="0"/>
    <x v="3"/>
    <n v="500"/>
    <n v="0.93386376795353099"/>
    <n v="535.41"/>
    <x v="3"/>
    <s v="T73-M-D1"/>
    <s v="PALF"/>
    <s v="Aspinall"/>
    <s v="CONGO"/>
    <m/>
    <m/>
    <m/>
  </r>
  <r>
    <d v="2026-03-14T00:00:00"/>
    <s v="Taxi moto : port - centre ville (prospection)"/>
    <x v="0"/>
    <x v="3"/>
    <n v="500"/>
    <n v="0.93386376795353099"/>
    <n v="535.41"/>
    <x v="3"/>
    <s v="T73-M-D1"/>
    <s v="PALF"/>
    <s v="Aspinall"/>
    <s v="CONGO"/>
    <m/>
    <m/>
    <m/>
  </r>
  <r>
    <d v="2026-03-14T00:00:00"/>
    <s v="Taxi moto : centre ville - hotel (fin de journée)"/>
    <x v="0"/>
    <x v="3"/>
    <n v="500"/>
    <n v="0.93386376795353099"/>
    <n v="535.41"/>
    <x v="3"/>
    <s v="T73-M-D1"/>
    <s v="PALF"/>
    <s v="Aspinall"/>
    <s v="CONGO"/>
    <m/>
    <m/>
    <m/>
  </r>
  <r>
    <d v="2026-03-14T00:00:00"/>
    <s v="Taxi moto : Hôtel - Avenue principal/ Prospection"/>
    <x v="0"/>
    <x v="3"/>
    <n v="500"/>
    <n v="0.93386376795353099"/>
    <n v="535.41"/>
    <x v="4"/>
    <s v="IT87-M-D1"/>
    <s v="PALF"/>
    <s v="Aspinall"/>
    <s v="CONGO"/>
    <m/>
    <m/>
    <m/>
  </r>
  <r>
    <d v="2026-03-14T00:00:00"/>
    <s v="Achat boisons avec la cible"/>
    <x v="3"/>
    <x v="3"/>
    <n v="1600"/>
    <n v="2.9883640574512991"/>
    <n v="535.41"/>
    <x v="4"/>
    <s v="IT87-M-D2"/>
    <s v="PALF"/>
    <s v="Aspinall"/>
    <s v="CONGO"/>
    <m/>
    <m/>
    <m/>
  </r>
  <r>
    <d v="2026-03-14T00:00:00"/>
    <s v="Taxi moto : Avenue principal - Avenue Okoyi/ Prospection"/>
    <x v="0"/>
    <x v="3"/>
    <n v="500"/>
    <n v="0.93386376795353099"/>
    <n v="535.41"/>
    <x v="4"/>
    <s v="IT87-M-D1"/>
    <s v="PALF"/>
    <s v="Aspinall"/>
    <s v="CONGO"/>
    <m/>
    <m/>
    <m/>
  </r>
  <r>
    <d v="2026-03-14T00:00:00"/>
    <s v="Taxi moto : Avenue Okoyi - Quartier Social/ Prospection"/>
    <x v="0"/>
    <x v="3"/>
    <n v="500"/>
    <n v="0.93386376795353099"/>
    <n v="535.41"/>
    <x v="4"/>
    <s v="IT87-M-D1"/>
    <s v="PALF"/>
    <s v="Aspinall"/>
    <s v="CONGO"/>
    <m/>
    <m/>
    <m/>
  </r>
  <r>
    <d v="2026-03-14T00:00:00"/>
    <s v="Achat boisons avec la cible"/>
    <x v="3"/>
    <x v="3"/>
    <n v="2000"/>
    <n v="3.735455071814124"/>
    <n v="535.41"/>
    <x v="4"/>
    <s v="IT87-M-D2"/>
    <s v="PALF"/>
    <s v="Aspinall"/>
    <s v="CONGO"/>
    <m/>
    <m/>
    <m/>
  </r>
  <r>
    <d v="2026-03-14T00:00:00"/>
    <s v="Taxi moto : Quartier social - Hôtel/ Retour de prospection"/>
    <x v="0"/>
    <x v="3"/>
    <n v="500"/>
    <n v="0.93386376795353099"/>
    <n v="535.41"/>
    <x v="4"/>
    <s v="IT87-M-D1"/>
    <s v="PALF"/>
    <s v="Aspinall"/>
    <s v="CONGO"/>
    <m/>
    <m/>
    <m/>
  </r>
  <r>
    <d v="2026-03-15T00:00:00"/>
    <s v="Taxi moto : Hôtel - Quartier 1/ Prospection"/>
    <x v="0"/>
    <x v="3"/>
    <n v="500"/>
    <n v="0.93386376795353099"/>
    <n v="535.41"/>
    <x v="4"/>
    <s v="IT87-M-D1"/>
    <s v="PALF"/>
    <s v="Aspinall"/>
    <s v="CONGO"/>
    <m/>
    <m/>
    <m/>
  </r>
  <r>
    <d v="2026-03-15T00:00:00"/>
    <s v="Taxi moto : Quartier 1 - Quartier Sama/ Prospection"/>
    <x v="0"/>
    <x v="3"/>
    <n v="500"/>
    <n v="0.93386376795353099"/>
    <n v="535.41"/>
    <x v="4"/>
    <s v="IT87-M-D1"/>
    <s v="PALF"/>
    <s v="Aspinall"/>
    <s v="CONGO"/>
    <m/>
    <m/>
    <m/>
  </r>
  <r>
    <d v="2026-03-15T00:00:00"/>
    <s v="Achat boisons avec la cible"/>
    <x v="3"/>
    <x v="3"/>
    <n v="2000"/>
    <n v="3.735455071814124"/>
    <n v="535.41"/>
    <x v="4"/>
    <s v="IT87-M-D2"/>
    <s v="PALF"/>
    <s v="Aspinall"/>
    <s v="CONGO"/>
    <m/>
    <m/>
    <m/>
  </r>
  <r>
    <d v="2026-03-15T00:00:00"/>
    <s v="Taxi moto : Quartier Sama - Parking/ Réservation de la place dans le véhicule"/>
    <x v="0"/>
    <x v="3"/>
    <n v="500"/>
    <n v="0.93386376795353099"/>
    <n v="535.41"/>
    <x v="4"/>
    <s v="IT87-M-D1"/>
    <s v="PALF"/>
    <s v="Aspinall"/>
    <s v="CONGO"/>
    <m/>
    <m/>
    <m/>
  </r>
  <r>
    <d v="2026-03-15T00:00:00"/>
    <s v="Taxi moto : Parking - Hôtel/ Retour de prospection"/>
    <x v="0"/>
    <x v="3"/>
    <n v="500"/>
    <n v="0.93386376795353099"/>
    <n v="535.41"/>
    <x v="4"/>
    <s v="IT87-M-D1"/>
    <s v="PALF"/>
    <s v="Aspinall"/>
    <s v="CONGO"/>
    <m/>
    <m/>
    <m/>
  </r>
  <r>
    <d v="2026-03-16T00:00:00"/>
    <s v="Maison-Bureau"/>
    <x v="0"/>
    <x v="0"/>
    <n v="1000"/>
    <n v="1.8677282335885521"/>
    <n v="535.40980000000002"/>
    <x v="0"/>
    <s v="DH-M-D1"/>
    <s v="PALF"/>
    <s v="Aspinall"/>
    <s v="CONGO"/>
    <m/>
    <m/>
    <m/>
  </r>
  <r>
    <d v="2026-03-16T00:00:00"/>
    <s v="Bureau-Parc Zoologique"/>
    <x v="0"/>
    <x v="0"/>
    <n v="1000"/>
    <n v="1.8677282335885521"/>
    <n v="535.40980000000002"/>
    <x v="0"/>
    <s v="DH-M-D1"/>
    <s v="PALF"/>
    <s v="Aspinall"/>
    <s v="CONGO"/>
    <m/>
    <m/>
    <m/>
  </r>
  <r>
    <d v="2026-03-16T00:00:00"/>
    <s v="Parc Zoologique-Bureau"/>
    <x v="0"/>
    <x v="0"/>
    <n v="1000"/>
    <n v="1.8677282335885521"/>
    <n v="535.40980000000002"/>
    <x v="0"/>
    <s v="DH-M-D1"/>
    <s v="PALF"/>
    <s v="Aspinall"/>
    <s v="CONGO"/>
    <m/>
    <m/>
    <m/>
  </r>
  <r>
    <d v="2026-03-16T00:00:00"/>
    <s v="Bureau-Maison"/>
    <x v="0"/>
    <x v="0"/>
    <n v="1000"/>
    <n v="1.8677282335885521"/>
    <n v="535.40980000000002"/>
    <x v="0"/>
    <s v="DH-M-D1"/>
    <s v="PALF"/>
    <s v="Aspinall"/>
    <s v="CONGO"/>
    <m/>
    <m/>
    <m/>
  </r>
  <r>
    <d v="2026-03-16T00:00:00"/>
    <s v="Achat billet dolisie-ditadi"/>
    <x v="4"/>
    <x v="3"/>
    <n v="2000"/>
    <n v="3.735455071814124"/>
    <n v="535.41"/>
    <x v="6"/>
    <s v="P29-M-R8"/>
    <s v="PALF"/>
    <s v="Aspinall"/>
    <s v="CONGO"/>
    <m/>
    <m/>
    <m/>
  </r>
  <r>
    <d v="2026-03-16T00:00:00"/>
    <s v="Achat billet ditadi-dolisie"/>
    <x v="4"/>
    <x v="3"/>
    <n v="2000"/>
    <n v="3.735455071814124"/>
    <n v="535.41"/>
    <x v="6"/>
    <s v="P29-M-R9"/>
    <s v="PALF"/>
    <s v="Aspinall"/>
    <s v="CONGO"/>
    <m/>
    <m/>
    <m/>
  </r>
  <r>
    <d v="2026-03-16T00:00:00"/>
    <s v="Taxi hotel-gare routière,départ pour ditadi"/>
    <x v="0"/>
    <x v="3"/>
    <n v="500"/>
    <n v="0.93386376795353099"/>
    <n v="535.41"/>
    <x v="6"/>
    <s v="P29-M-D1"/>
    <s v="PALF"/>
    <s v="Aspinall"/>
    <s v="CONGO"/>
    <m/>
    <m/>
    <m/>
  </r>
  <r>
    <d v="2026-03-16T00:00:00"/>
    <s v="Taxi moto gare routière-marché,prospection"/>
    <x v="0"/>
    <x v="3"/>
    <n v="500"/>
    <n v="0.93386376795353099"/>
    <n v="535.41"/>
    <x v="6"/>
    <s v="P29-M-D1"/>
    <s v="PALF"/>
    <s v="Aspinall"/>
    <s v="CONGO"/>
    <m/>
    <m/>
    <m/>
  </r>
  <r>
    <d v="2026-03-16T00:00:00"/>
    <s v="Taxi moto marché-pk,prospection"/>
    <x v="0"/>
    <x v="3"/>
    <n v="500"/>
    <n v="0.93386376795353099"/>
    <n v="535.41"/>
    <x v="6"/>
    <s v="P29-M-D1"/>
    <s v="PALF"/>
    <s v="Aspinall"/>
    <s v="CONGO"/>
    <m/>
    <m/>
    <m/>
  </r>
  <r>
    <d v="2026-03-16T00:00:00"/>
    <s v="Taxi moto pk-centre,prospection"/>
    <x v="0"/>
    <x v="3"/>
    <n v="500"/>
    <n v="0.93386376795353099"/>
    <n v="535.41"/>
    <x v="6"/>
    <s v="P29-M-D1"/>
    <s v="PALF"/>
    <s v="Aspinall"/>
    <s v="CONGO"/>
    <m/>
    <m/>
    <m/>
  </r>
  <r>
    <d v="2026-03-16T00:00:00"/>
    <s v="Taxi centre-gare routière,prospection"/>
    <x v="0"/>
    <x v="3"/>
    <n v="500"/>
    <n v="0.93386376795353099"/>
    <n v="535.41"/>
    <x v="6"/>
    <s v="P29-M-D1"/>
    <s v="PALF"/>
    <s v="Aspinall"/>
    <s v="CONGO"/>
    <m/>
    <m/>
    <m/>
  </r>
  <r>
    <d v="2026-03-16T00:00:00"/>
    <s v="Achat boisson"/>
    <x v="3"/>
    <x v="3"/>
    <n v="1000"/>
    <n v="1.867727535907062"/>
    <n v="535.41"/>
    <x v="6"/>
    <s v="P29-M-D5"/>
    <s v="PALF"/>
    <s v="Aspinall"/>
    <s v="CONGO"/>
    <m/>
    <m/>
    <m/>
  </r>
  <r>
    <d v="2026-03-16T00:00:00"/>
    <s v="Taxi moto : Mboua - village Mpene (vérifcation produit)"/>
    <x v="4"/>
    <x v="3"/>
    <n v="6000"/>
    <n v="11.206365215442371"/>
    <n v="535.41"/>
    <x v="3"/>
    <s v="T73-M-R14"/>
    <s v="PALF"/>
    <s v="Aspinall"/>
    <s v="CONGO"/>
    <m/>
    <m/>
    <m/>
  </r>
  <r>
    <d v="2026-03-16T00:00:00"/>
    <s v="Taxi moto : village Mpene - village béné (vérifcation produit)"/>
    <x v="4"/>
    <x v="3"/>
    <n v="4000"/>
    <n v="7.4709101436282479"/>
    <n v="535.41"/>
    <x v="3"/>
    <s v="T73-M-R15"/>
    <s v="PALF"/>
    <s v="Aspinall"/>
    <s v="CONGO"/>
    <m/>
    <m/>
    <m/>
  </r>
  <r>
    <d v="2026-03-16T00:00:00"/>
    <s v="Taxi moto : village béné - Mboua (vérifcation produit)"/>
    <x v="4"/>
    <x v="3"/>
    <n v="4000"/>
    <n v="7.4709101436282479"/>
    <n v="535.41"/>
    <x v="3"/>
    <s v="T73-M-R16"/>
    <s v="PALF"/>
    <s v="Aspinall"/>
    <s v="CONGO"/>
    <m/>
    <m/>
    <m/>
  </r>
  <r>
    <d v="2026-03-16T00:00:00"/>
    <s v="achat boisson et nourriture /une cible"/>
    <x v="3"/>
    <x v="3"/>
    <n v="4500"/>
    <n v="8.4047739115817794"/>
    <n v="535.41"/>
    <x v="3"/>
    <s v="T73-M-D2"/>
    <s v="PALF"/>
    <s v="Aspinall"/>
    <s v="CONGO"/>
    <m/>
    <m/>
    <m/>
  </r>
  <r>
    <d v="2026-03-16T00:00:00"/>
    <s v="Taxi moto : hotel - parking"/>
    <x v="0"/>
    <x v="3"/>
    <n v="500"/>
    <n v="0.93386376795353099"/>
    <n v="535.41"/>
    <x v="3"/>
    <s v="T73-M-D1"/>
    <s v="PALF"/>
    <s v="Aspinall"/>
    <s v="CONGO"/>
    <m/>
    <m/>
    <m/>
  </r>
  <r>
    <d v="2026-03-16T00:00:00"/>
    <s v="achat billet : Mboua - Pokola/T73"/>
    <x v="4"/>
    <x v="3"/>
    <n v="10000"/>
    <n v="18.67727535907062"/>
    <n v="535.41"/>
    <x v="3"/>
    <s v="T73-M-R17"/>
    <s v="PALF"/>
    <s v="Aspinall"/>
    <s v="CONGO"/>
    <m/>
    <m/>
    <m/>
  </r>
  <r>
    <d v="2026-03-16T00:00:00"/>
    <s v="T73 - CONGO Frais d'hotel du 13au 16/03/2026 à Mboua (03Nuitées)"/>
    <x v="5"/>
    <x v="3"/>
    <n v="30000"/>
    <n v="56.031826077211861"/>
    <n v="535.41"/>
    <x v="3"/>
    <s v="T73-M-R18"/>
    <s v="PALF"/>
    <s v="Aspinall"/>
    <s v="CONGO"/>
    <m/>
    <m/>
    <m/>
  </r>
  <r>
    <d v="2026-03-16T00:00:00"/>
    <s v="IT87- CONGO Frais d'hôtel  du 13 au 16/03/2026 à Zanaga (03 nuitées)"/>
    <x v="5"/>
    <x v="3"/>
    <n v="30000"/>
    <n v="56.031826077211861"/>
    <n v="535.41"/>
    <x v="4"/>
    <s v="IT87-M-R12"/>
    <s v="PALF"/>
    <s v="Aspinall"/>
    <s v="CONGO"/>
    <m/>
    <m/>
    <m/>
  </r>
  <r>
    <d v="2026-03-16T00:00:00"/>
    <s v="Taxi moto : Hôtel - Parking/ Départ de Zanaga pour Loudima"/>
    <x v="0"/>
    <x v="3"/>
    <n v="500"/>
    <n v="0.93386376795353099"/>
    <n v="535.41"/>
    <x v="4"/>
    <s v="IT87-M-D1"/>
    <s v="PALF"/>
    <s v="Aspinall"/>
    <s v="CONGO"/>
    <m/>
    <m/>
    <m/>
  </r>
  <r>
    <d v="2026-03-16T00:00:00"/>
    <s v="Achat billet Zanaga - Sibiti/ IT87"/>
    <x v="4"/>
    <x v="3"/>
    <n v="9000"/>
    <n v="16.809547823163559"/>
    <n v="535.41"/>
    <x v="4"/>
    <s v="IT87-M-R13"/>
    <s v="PALF"/>
    <s v="Aspinall"/>
    <s v="CONGO"/>
    <m/>
    <m/>
    <m/>
  </r>
  <r>
    <d v="2026-03-16T00:00:00"/>
    <s v="Achat billet Sibiti - Loudima/ IT87"/>
    <x v="4"/>
    <x v="3"/>
    <n v="4000"/>
    <n v="7.4709101436282479"/>
    <n v="535.41"/>
    <x v="4"/>
    <s v="IT87-M-R14"/>
    <s v="PALF"/>
    <s v="Aspinall"/>
    <s v="CONGO"/>
    <m/>
    <m/>
    <m/>
  </r>
  <r>
    <d v="2026-03-16T00:00:00"/>
    <s v="Taxi moto : Gare routière - Hôtel Alino/ Arrivé à Loudima"/>
    <x v="0"/>
    <x v="3"/>
    <n v="1000"/>
    <n v="1.867727535907062"/>
    <n v="535.41"/>
    <x v="4"/>
    <s v="IT87-M-D1"/>
    <s v="PALF"/>
    <s v="Aspinall"/>
    <s v="CONGO"/>
    <m/>
    <m/>
    <m/>
  </r>
  <r>
    <d v="2026-03-16T00:00:00"/>
    <s v="Taxi moto : Hôtel - Zone du marché de Loudima/ Prospection"/>
    <x v="0"/>
    <x v="3"/>
    <n v="500"/>
    <n v="0.93386376795353099"/>
    <n v="535.41"/>
    <x v="4"/>
    <s v="IT87-M-D1"/>
    <s v="PALF"/>
    <s v="Aspinall"/>
    <s v="CONGO"/>
    <m/>
    <m/>
    <m/>
  </r>
  <r>
    <d v="2026-03-16T00:00:00"/>
    <s v="Taxi moto : Zone du marché de Loudima - Hôtel/ Retour de prospection"/>
    <x v="0"/>
    <x v="3"/>
    <n v="500"/>
    <n v="0.93386376795353099"/>
    <n v="535.41"/>
    <x v="4"/>
    <s v="IT87-M-D1"/>
    <s v="PALF"/>
    <s v="Aspinall"/>
    <s v="CONGO"/>
    <m/>
    <m/>
    <m/>
  </r>
  <r>
    <d v="2026-03-16T00:00:00"/>
    <s v="Taxi, Bureau PALF-Les Dépêches de Brazzaville"/>
    <x v="0"/>
    <x v="4"/>
    <n v="1000"/>
    <n v="1.867727535907062"/>
    <n v="535.41"/>
    <x v="8"/>
    <s v="EV-M-D1"/>
    <s v="PALF"/>
    <s v="Aspinall"/>
    <s v="CONGO"/>
    <m/>
    <m/>
    <m/>
  </r>
  <r>
    <d v="2026-03-16T00:00:00"/>
    <s v="Taxi, Les Dépêches de Brazzaville-Radio Liberté"/>
    <x v="0"/>
    <x v="4"/>
    <n v="1000"/>
    <n v="1.867727535907062"/>
    <n v="535.41"/>
    <x v="8"/>
    <s v="EV-M-D1"/>
    <s v="PALF"/>
    <s v="Aspinall"/>
    <s v="CONGO"/>
    <m/>
    <m/>
    <m/>
  </r>
  <r>
    <d v="2026-03-16T00:00:00"/>
    <s v="Taxi, Radio Liberté-groupecongomedias.com"/>
    <x v="0"/>
    <x v="4"/>
    <n v="1000"/>
    <n v="1.867727535907062"/>
    <n v="535.41"/>
    <x v="8"/>
    <s v="EV-M-D1"/>
    <s v="PALF"/>
    <s v="Aspinall"/>
    <s v="CONGO"/>
    <m/>
    <m/>
    <m/>
  </r>
  <r>
    <d v="2026-03-16T00:00:00"/>
    <s v="Taxi, groupecongomedias.com-lesechos-congobrazza.com"/>
    <x v="0"/>
    <x v="4"/>
    <n v="1000"/>
    <n v="1.867727535907062"/>
    <n v="535.41"/>
    <x v="8"/>
    <s v="EV-M-D1"/>
    <s v="PALF"/>
    <s v="Aspinall"/>
    <s v="CONGO"/>
    <m/>
    <m/>
    <m/>
  </r>
  <r>
    <d v="2026-03-16T00:00:00"/>
    <s v="Taxi, lesechos-congobrazza.com-panoramik-actu.com"/>
    <x v="0"/>
    <x v="4"/>
    <n v="1000"/>
    <n v="1.867727535907062"/>
    <n v="535.41"/>
    <x v="8"/>
    <s v="EV-M-D1"/>
    <s v="PALF"/>
    <s v="Aspinall"/>
    <s v="CONGO"/>
    <m/>
    <m/>
    <m/>
  </r>
  <r>
    <d v="2026-03-16T00:00:00"/>
    <s v="Taxi, panoramik-actu.com-tribune-eco.com"/>
    <x v="0"/>
    <x v="4"/>
    <n v="1000"/>
    <n v="1.867727535907062"/>
    <n v="535.41"/>
    <x v="8"/>
    <s v="EV-M-D1"/>
    <s v="PALF"/>
    <s v="Aspinall"/>
    <s v="CONGO"/>
    <m/>
    <m/>
    <m/>
  </r>
  <r>
    <d v="2026-03-16T00:00:00"/>
    <s v="Taxi, tribune-eco.com-La Semaine Africaine"/>
    <x v="0"/>
    <x v="4"/>
    <n v="1000"/>
    <n v="1.867727535907062"/>
    <n v="535.41"/>
    <x v="8"/>
    <s v="EV-M-D1"/>
    <s v="PALF"/>
    <s v="Aspinall"/>
    <s v="CONGO"/>
    <m/>
    <m/>
    <m/>
  </r>
  <r>
    <d v="2026-03-16T00:00:00"/>
    <s v="Taxi, La Semaine Africaine-firstmediac.com"/>
    <x v="0"/>
    <x v="4"/>
    <n v="1000"/>
    <n v="1.867727535907062"/>
    <n v="535.41"/>
    <x v="8"/>
    <s v="EV-M-D1"/>
    <s v="PALF"/>
    <s v="Aspinall"/>
    <s v="CONGO"/>
    <m/>
    <m/>
    <m/>
  </r>
  <r>
    <d v="2026-03-16T00:00:00"/>
    <s v="Taxi, firstmediac.com-opinionpublique.cg"/>
    <x v="0"/>
    <x v="4"/>
    <n v="1000"/>
    <n v="1.867727535907062"/>
    <n v="535.41"/>
    <x v="8"/>
    <s v="EV-M-D1"/>
    <s v="PALF"/>
    <s v="Aspinall"/>
    <s v="CONGO"/>
    <m/>
    <m/>
    <m/>
  </r>
  <r>
    <d v="2026-03-16T00:00:00"/>
    <s v="Taxi, opinionpublique.cg-panoramik-actu.com"/>
    <x v="0"/>
    <x v="4"/>
    <n v="1000"/>
    <n v="1.867727535907062"/>
    <n v="535.41"/>
    <x v="8"/>
    <s v="EV-M-D1"/>
    <s v="PALF"/>
    <s v="Aspinall"/>
    <s v="CONGO"/>
    <m/>
    <m/>
    <m/>
  </r>
  <r>
    <d v="2026-03-16T00:00:00"/>
    <s v="Taxi, panoramik-actu.com-Bureau PALF"/>
    <x v="0"/>
    <x v="4"/>
    <n v="1000"/>
    <n v="1.867727535907062"/>
    <n v="535.41"/>
    <x v="8"/>
    <s v="EV-M-D1"/>
    <s v="PALF"/>
    <s v="Aspinall"/>
    <s v="CONGO"/>
    <m/>
    <m/>
    <m/>
  </r>
  <r>
    <d v="2026-03-17T00:00:00"/>
    <s v="Paiement assurance individuel accident corporel/DOVI"/>
    <x v="2"/>
    <x v="0"/>
    <n v="80500"/>
    <n v="151.11166315014682"/>
    <n v="532.71864210781655"/>
    <x v="0"/>
    <s v="CA-M-R9"/>
    <s v="PALF"/>
    <s v="Aspinall"/>
    <s v="CONGO"/>
    <m/>
    <m/>
    <m/>
  </r>
  <r>
    <d v="2026-03-17T00:00:00"/>
    <s v="Paiement assurance Assistance Evacuation/DOVI"/>
    <x v="2"/>
    <x v="0"/>
    <n v="129464"/>
    <n v="243.02509761578398"/>
    <n v="532.71864210781655"/>
    <x v="0"/>
    <s v="CA-M-R10"/>
    <s v="PALF"/>
    <s v="Aspinall"/>
    <s v="CONGO"/>
    <m/>
    <m/>
    <m/>
  </r>
  <r>
    <d v="2026-03-17T00:00:00"/>
    <s v="Maison-Bureau"/>
    <x v="0"/>
    <x v="0"/>
    <n v="1000"/>
    <n v="1.8677282335885521"/>
    <n v="535.40980000000002"/>
    <x v="0"/>
    <s v="DH-M-D1"/>
    <s v="PALF"/>
    <s v="Aspinall"/>
    <s v="CONGO"/>
    <m/>
    <m/>
    <m/>
  </r>
  <r>
    <d v="2026-03-17T00:00:00"/>
    <s v="Bureau- Maison"/>
    <x v="0"/>
    <x v="0"/>
    <n v="1000"/>
    <n v="1.8677282335885521"/>
    <n v="535.40980000000002"/>
    <x v="0"/>
    <s v="DH-M-D1"/>
    <s v="PALF"/>
    <s v="Aspinall"/>
    <s v="CONGO"/>
    <m/>
    <m/>
    <m/>
  </r>
  <r>
    <d v="2026-03-17T00:00:00"/>
    <s v=" Frais de prestation de nettoyage jardin PALF Février 2026"/>
    <x v="8"/>
    <x v="2"/>
    <n v="40000"/>
    <n v="74.709101436282481"/>
    <n v="535.41"/>
    <x v="2"/>
    <s v="CA-M-R8"/>
    <s v="PALF"/>
    <s v="Aspinall"/>
    <s v="CONGO"/>
    <m/>
    <m/>
    <m/>
  </r>
  <r>
    <d v="2026-03-17T00:00:00"/>
    <s v="Réglement facture électricité periode Janvier et Février 2026/bureau PALF"/>
    <x v="7"/>
    <x v="2"/>
    <n v="40613"/>
    <n v="75.854018415793504"/>
    <n v="535.41"/>
    <x v="2"/>
    <s v="CA-M-R11"/>
    <s v="PALF"/>
    <s v="Aspinall"/>
    <s v="CONGO"/>
    <m/>
    <m/>
    <m/>
  </r>
  <r>
    <d v="2026-03-17T00:00:00"/>
    <s v="Taxi: Bureau -Direction Energie Electrique du Congo/Règlement facture janvier et fevrier 2026"/>
    <x v="0"/>
    <x v="2"/>
    <n v="1000"/>
    <n v="1.867727535907062"/>
    <n v="535.41"/>
    <x v="2"/>
    <s v="P-M-D1"/>
    <s v="PALF"/>
    <s v="Aspinall"/>
    <s v="CONGO"/>
    <m/>
    <m/>
    <m/>
  </r>
  <r>
    <d v="2026-03-17T00:00:00"/>
    <s v="Taxi: Direction Energie Electrique du Congo-Bureau"/>
    <x v="0"/>
    <x v="2"/>
    <n v="1000"/>
    <n v="1.867727535907062"/>
    <n v="535.41"/>
    <x v="2"/>
    <s v="P-M-D1"/>
    <s v="PALF"/>
    <s v="Aspinall"/>
    <s v="CONGO"/>
    <m/>
    <m/>
    <m/>
  </r>
  <r>
    <d v="2026-03-17T00:00:00"/>
    <s v="Taxi: Bureau - Societé d'assurances SUNU/ paiement assurance du coordinateur PALF"/>
    <x v="0"/>
    <x v="2"/>
    <n v="1000"/>
    <n v="1.867727535907062"/>
    <n v="535.41"/>
    <x v="2"/>
    <s v="P-M-D1"/>
    <s v="PALF"/>
    <s v="Aspinall"/>
    <s v="CONGO"/>
    <m/>
    <m/>
    <m/>
  </r>
  <r>
    <d v="2026-03-17T00:00:00"/>
    <s v="Taxi:  Societé d'assurances SUNU-Bureau"/>
    <x v="0"/>
    <x v="2"/>
    <n v="1000"/>
    <n v="1.867727535907062"/>
    <n v="535.41"/>
    <x v="2"/>
    <s v="P-M-D1"/>
    <s v="PALF"/>
    <s v="Aspinall"/>
    <s v="CONGO"/>
    <m/>
    <m/>
    <m/>
  </r>
  <r>
    <d v="2026-03-17T00:00:00"/>
    <s v="P29 -CONGO Frais d'hotel du 14 au 17/03/2026 à dolisie(4 Nuitées)"/>
    <x v="5"/>
    <x v="3"/>
    <n v="30000"/>
    <n v="56.031826077211861"/>
    <n v="535.41"/>
    <x v="6"/>
    <s v="P29-M-R10"/>
    <s v="PALF"/>
    <s v="Aspinall"/>
    <s v="CONGO"/>
    <m/>
    <m/>
    <m/>
  </r>
  <r>
    <d v="2026-03-17T00:00:00"/>
    <s v="Achat billet dolisie-brazzaville/P29"/>
    <x v="4"/>
    <x v="3"/>
    <n v="9000"/>
    <n v="16.809547823163559"/>
    <n v="535.41"/>
    <x v="6"/>
    <s v="P29-M-R11"/>
    <s v="PALF"/>
    <s v="Aspinall"/>
    <s v="CONGO"/>
    <m/>
    <m/>
    <m/>
  </r>
  <r>
    <d v="2026-03-17T00:00:00"/>
    <s v="Taxi hotel-agence,départ brazzaville"/>
    <x v="0"/>
    <x v="3"/>
    <n v="1000"/>
    <n v="1.867727535907062"/>
    <n v="535.41"/>
    <x v="6"/>
    <s v="P29-M-D1"/>
    <s v="PALF"/>
    <s v="Aspinall"/>
    <s v="CONGO"/>
    <m/>
    <m/>
    <m/>
  </r>
  <r>
    <d v="2026-03-17T00:00:00"/>
    <s v="Taxi agence-domicile,arrivé à brazzaville"/>
    <x v="0"/>
    <x v="3"/>
    <n v="1500"/>
    <n v="2.8015913038605929"/>
    <n v="535.41"/>
    <x v="6"/>
    <s v="P29-M-D1"/>
    <s v="PALF"/>
    <s v="Aspinall"/>
    <s v="CONGO"/>
    <m/>
    <m/>
    <m/>
  </r>
  <r>
    <d v="2026-03-17T00:00:00"/>
    <s v="taxi moto :  hotel - marché (prospection )"/>
    <x v="0"/>
    <x v="3"/>
    <n v="500"/>
    <n v="0.93386376795353099"/>
    <n v="535.41"/>
    <x v="3"/>
    <s v="T73-M-D1"/>
    <s v="PALF"/>
    <s v="Aspinall"/>
    <s v="CONGO"/>
    <m/>
    <m/>
    <m/>
  </r>
  <r>
    <d v="2026-03-17T00:00:00"/>
    <s v="taxi moto :  marché - zone CIB (rendez - vous avec la cible)"/>
    <x v="0"/>
    <x v="3"/>
    <n v="500"/>
    <n v="0.93386376795353099"/>
    <n v="535.41"/>
    <x v="3"/>
    <s v="T73-M-D1"/>
    <s v="PALF"/>
    <s v="Aspinall"/>
    <s v="CONGO"/>
    <m/>
    <m/>
    <m/>
  </r>
  <r>
    <d v="2026-03-17T00:00:00"/>
    <s v="taxi moto :  zone CIB - zone stade  (prospection)"/>
    <x v="0"/>
    <x v="3"/>
    <n v="500"/>
    <n v="0.93386376795353099"/>
    <n v="535.41"/>
    <x v="3"/>
    <s v="T73-M-D1"/>
    <s v="PALF"/>
    <s v="Aspinall"/>
    <s v="CONGO"/>
    <m/>
    <m/>
    <m/>
  </r>
  <r>
    <d v="2026-03-17T00:00:00"/>
    <s v="taxi moto :  zone stade - hotel  (libéré hotel)"/>
    <x v="0"/>
    <x v="3"/>
    <n v="500"/>
    <n v="0.93386376795353099"/>
    <n v="535.41"/>
    <x v="3"/>
    <s v="T73-M-D1"/>
    <s v="PALF"/>
    <s v="Aspinall"/>
    <s v="CONGO"/>
    <m/>
    <m/>
    <m/>
  </r>
  <r>
    <d v="2026-03-17T00:00:00"/>
    <s v="taxi moto : hotel - gare routière (départ pour Ouesso)"/>
    <x v="0"/>
    <x v="3"/>
    <n v="500"/>
    <n v="0.93386376795353099"/>
    <n v="535.41"/>
    <x v="3"/>
    <s v="T73-M-D1"/>
    <s v="PALF"/>
    <s v="Aspinall"/>
    <s v="CONGO"/>
    <m/>
    <m/>
    <m/>
  </r>
  <r>
    <d v="2026-03-17T00:00:00"/>
    <s v="T73 - CONGO Frais d'hotel du 16au 17/03/2026 à Pokola (01Nuitée)"/>
    <x v="5"/>
    <x v="3"/>
    <n v="10000"/>
    <n v="18.67727535907062"/>
    <n v="535.41"/>
    <x v="3"/>
    <s v="T73-M-R19"/>
    <s v="PALF"/>
    <s v="Aspinall"/>
    <s v="CONGO"/>
    <m/>
    <m/>
    <m/>
  </r>
  <r>
    <d v="2026-03-17T00:00:00"/>
    <s v="Achat boisson/ une cible"/>
    <x v="3"/>
    <x v="3"/>
    <n v="2000"/>
    <n v="3.735455071814124"/>
    <n v="535.41"/>
    <x v="3"/>
    <s v="T73-M-D2"/>
    <s v="PALF"/>
    <s v="Aspinall"/>
    <s v="CONGO"/>
    <m/>
    <m/>
    <m/>
  </r>
  <r>
    <d v="2026-03-17T00:00:00"/>
    <s v="Taxi : port - hotel"/>
    <x v="0"/>
    <x v="3"/>
    <n v="500"/>
    <n v="0.93386376795353099"/>
    <n v="535.41"/>
    <x v="3"/>
    <s v="T73-M-D1"/>
    <s v="PALF"/>
    <s v="Aspinall"/>
    <s v="CONGO"/>
    <m/>
    <m/>
    <m/>
  </r>
  <r>
    <d v="2026-03-17T00:00:00"/>
    <s v="Taxi :  hotel - agence transbony (reservation billet)"/>
    <x v="0"/>
    <x v="3"/>
    <n v="500"/>
    <n v="0.93386376795353099"/>
    <n v="535.41"/>
    <x v="3"/>
    <s v="T73-M-D1"/>
    <s v="PALF"/>
    <s v="Aspinall"/>
    <s v="CONGO"/>
    <m/>
    <m/>
    <m/>
  </r>
  <r>
    <d v="2026-03-17T00:00:00"/>
    <s v="Achat billet : Pokola -Ouesso /T73"/>
    <x v="4"/>
    <x v="3"/>
    <n v="2000"/>
    <n v="3.735455071814124"/>
    <n v="535.41"/>
    <x v="3"/>
    <s v="T73-M-R20"/>
    <s v="PALF"/>
    <s v="Aspinall"/>
    <s v="CONGO"/>
    <m/>
    <m/>
    <m/>
  </r>
  <r>
    <d v="2026-03-17T00:00:00"/>
    <s v="Taxi :  agence transbony - hotel (fin de journée)"/>
    <x v="0"/>
    <x v="3"/>
    <n v="500"/>
    <n v="0.93386376795353099"/>
    <n v="535.41"/>
    <x v="3"/>
    <s v="T73-M-D1"/>
    <s v="PALF"/>
    <s v="Aspinall"/>
    <s v="CONGO"/>
    <m/>
    <m/>
    <m/>
  </r>
  <r>
    <d v="2026-03-17T00:00:00"/>
    <s v="IT87- CONGO Frais d'hôtel  du 16 au 17/03/2026 à Loudima (01 Nuitée)"/>
    <x v="5"/>
    <x v="3"/>
    <n v="10000"/>
    <n v="18.67727535907062"/>
    <n v="535.41"/>
    <x v="4"/>
    <s v="IT87-M-R15"/>
    <s v="PALF"/>
    <s v="Aspinall"/>
    <s v="CONGO"/>
    <m/>
    <m/>
    <m/>
  </r>
  <r>
    <d v="2026-03-17T00:00:00"/>
    <s v="Taxi moto : Hôtel - Agence Trans bony/ Départ de Loudima pour Brazzaville"/>
    <x v="0"/>
    <x v="3"/>
    <n v="1000"/>
    <n v="1.867727535907062"/>
    <n v="535.41"/>
    <x v="4"/>
    <s v="IT87-M-D1"/>
    <s v="PALF"/>
    <s v="Aspinall"/>
    <s v="CONGO"/>
    <m/>
    <m/>
    <m/>
  </r>
  <r>
    <d v="2026-03-17T00:00:00"/>
    <s v="Achat billet Loudima - Brazzaville/ IT87"/>
    <x v="4"/>
    <x v="3"/>
    <n v="7000"/>
    <n v="13.074092751349434"/>
    <n v="535.41"/>
    <x v="4"/>
    <s v="IT87-M-R16"/>
    <s v="PALF"/>
    <s v="Aspinall"/>
    <s v="CONGO"/>
    <m/>
    <m/>
    <m/>
  </r>
  <r>
    <d v="2026-03-17T00:00:00"/>
    <s v="Taxi : Agence Ocean du nord Moungali - Domicile/ Arrivée à Brazzaville"/>
    <x v="0"/>
    <x v="3"/>
    <n v="2500"/>
    <n v="4.669318839767655"/>
    <n v="535.41"/>
    <x v="4"/>
    <s v="IT87-M-D1"/>
    <s v="PALF"/>
    <s v="Aspinall"/>
    <s v="CONGO"/>
    <m/>
    <m/>
    <m/>
  </r>
  <r>
    <d v="2026-03-18T00:00:00"/>
    <s v="Maison-Bureau"/>
    <x v="0"/>
    <x v="0"/>
    <n v="1000"/>
    <n v="1.8677282335885521"/>
    <n v="535.40980000000002"/>
    <x v="0"/>
    <s v="DH-M-D1"/>
    <s v="PALF"/>
    <s v="Aspinall"/>
    <s v="CONGO"/>
    <m/>
    <m/>
    <m/>
  </r>
  <r>
    <d v="2026-03-18T00:00:00"/>
    <s v="Parc Zoologique - Bureau"/>
    <x v="0"/>
    <x v="0"/>
    <n v="1000"/>
    <n v="1.9254803020356539"/>
    <n v="519.35093749999999"/>
    <x v="0"/>
    <s v="DH-M-D1"/>
    <s v="PALF"/>
    <s v="Aspinall"/>
    <s v="CONGO"/>
    <m/>
    <m/>
    <m/>
  </r>
  <r>
    <d v="2026-03-18T00:00:00"/>
    <s v="Bureau-Maison"/>
    <x v="0"/>
    <x v="0"/>
    <n v="1000"/>
    <n v="1.9254803020356539"/>
    <n v="519.35093749999999"/>
    <x v="0"/>
    <s v="DH-M-D1"/>
    <s v="PALF"/>
    <s v="Aspinall"/>
    <s v="CONGO"/>
    <m/>
    <m/>
    <m/>
  </r>
  <r>
    <d v="2026-03-18T00:00:00"/>
    <s v="Credit telephonique MTN/PALF/ du 19 au 24 Mars 2026/ DOVI"/>
    <x v="1"/>
    <x v="0"/>
    <n v="10000"/>
    <n v="19.25480302035654"/>
    <n v="519.35093749999999"/>
    <x v="0"/>
    <s v="DH-M-R4"/>
    <s v="PALF"/>
    <s v="Aspinall"/>
    <s v="CONGO"/>
    <m/>
    <m/>
    <m/>
  </r>
  <r>
    <d v="2026-03-18T00:00:00"/>
    <s v="Credit telephonique MTN PALF/du 18   au 24 Mars 2026/Legal/ crepin"/>
    <x v="1"/>
    <x v="1"/>
    <n v="7500"/>
    <n v="14.007956519302965"/>
    <n v="535.41"/>
    <x v="1"/>
    <s v="CR-M-R3"/>
    <s v="PALF"/>
    <s v="Aspinall"/>
    <s v="CONGO"/>
    <m/>
    <m/>
    <m/>
  </r>
  <r>
    <d v="2026-03-18T00:00:00"/>
    <s v="Reglement facture internet periode du 18/03 au 18/04/2026 bureau PALF"/>
    <x v="14"/>
    <x v="2"/>
    <n v="45050"/>
    <n v="84.141125492613142"/>
    <n v="535.41"/>
    <x v="2"/>
    <s v="CA-M-R12"/>
    <s v="PALF"/>
    <s v="Aspinall"/>
    <s v="CONGO"/>
    <m/>
    <m/>
    <m/>
  </r>
  <r>
    <d v="2026-03-18T00:00:00"/>
    <s v="Frais de tansfert d'argent  à T73 par cf"/>
    <x v="9"/>
    <x v="2"/>
    <n v="3150"/>
    <n v="5.8833417381072453"/>
    <n v="535.41"/>
    <x v="2"/>
    <s v="CA-M-R13"/>
    <s v="PALF"/>
    <s v="Aspinall"/>
    <s v="CONGO"/>
    <m/>
    <m/>
    <m/>
  </r>
  <r>
    <d v="2026-03-18T00:00:00"/>
    <s v="Frais de tansfert d'argent  à P29 et T73 par cf"/>
    <x v="9"/>
    <x v="2"/>
    <n v="7710"/>
    <n v="14.400179301843448"/>
    <n v="535.41"/>
    <x v="2"/>
    <s v="CA-M-R14"/>
    <s v="PALF"/>
    <s v="Aspinall"/>
    <s v="CONGO"/>
    <m/>
    <m/>
    <m/>
  </r>
  <r>
    <d v="2026-03-18T00:00:00"/>
    <s v="Taxi:  Bureau- Charden farell/ transfert d'argent à  T73"/>
    <x v="0"/>
    <x v="2"/>
    <n v="500"/>
    <n v="0.93386376795353099"/>
    <n v="535.41"/>
    <x v="2"/>
    <s v="P-M-D1"/>
    <s v="PALF"/>
    <s v="Aspinall"/>
    <s v="CONGO"/>
    <m/>
    <m/>
    <m/>
  </r>
  <r>
    <d v="2026-03-18T00:00:00"/>
    <s v="Taxi: Charden Farell-Bureau"/>
    <x v="0"/>
    <x v="2"/>
    <n v="500"/>
    <n v="0.93386376795353099"/>
    <n v="535.41"/>
    <x v="2"/>
    <s v="P-M-D1"/>
    <s v="PALF"/>
    <s v="Aspinall"/>
    <s v="CONGO"/>
    <m/>
    <m/>
    <m/>
  </r>
  <r>
    <d v="2026-03-18T00:00:00"/>
    <s v="Taxi:Bureau- Direction Canal Box/ Paiement internet du mois de Décembre 2025"/>
    <x v="0"/>
    <x v="2"/>
    <n v="1000"/>
    <n v="1.867727535907062"/>
    <n v="535.41"/>
    <x v="2"/>
    <s v="P-M-D1"/>
    <s v="PALF"/>
    <s v="Aspinall"/>
    <s v="CONGO"/>
    <m/>
    <m/>
    <m/>
  </r>
  <r>
    <d v="2026-03-18T00:00:00"/>
    <s v="Taxi: Direction Canal Box-Bureau"/>
    <x v="0"/>
    <x v="2"/>
    <n v="1000"/>
    <n v="1.867727535907062"/>
    <n v="535.41"/>
    <x v="2"/>
    <s v="P-M-D1"/>
    <s v="PALF"/>
    <s v="Aspinall"/>
    <s v="CONGO"/>
    <m/>
    <m/>
    <m/>
  </r>
  <r>
    <d v="2026-03-18T00:00:00"/>
    <s v="Taxi: Bureau- Direction MTN / Achat crédit télephonique equipe PALF"/>
    <x v="0"/>
    <x v="2"/>
    <n v="1000"/>
    <n v="1.867727535907062"/>
    <n v="535.41"/>
    <x v="2"/>
    <s v="P-M-D1"/>
    <s v="PALF"/>
    <s v="Aspinall"/>
    <s v="CONGO"/>
    <m/>
    <m/>
    <m/>
  </r>
  <r>
    <d v="2026-03-18T00:00:00"/>
    <s v="Taxi: Direction MTN - Bureau"/>
    <x v="0"/>
    <x v="2"/>
    <n v="1000"/>
    <n v="1.867727535907062"/>
    <n v="535.41"/>
    <x v="2"/>
    <s v="P-M-D1"/>
    <s v="PALF"/>
    <s v="Aspinall"/>
    <s v="CONGO"/>
    <m/>
    <m/>
    <m/>
  </r>
  <r>
    <d v="2026-03-18T00:00:00"/>
    <s v="Credit teléphonique MTN PALF/ du 18 au 24 Mars 2026/Management/ Parfaite"/>
    <x v="1"/>
    <x v="0"/>
    <n v="5000"/>
    <n v="9.3386376795353101"/>
    <n v="535.41"/>
    <x v="2"/>
    <s v="P-M-R3"/>
    <s v="PALF"/>
    <s v="Aspinall"/>
    <s v="CONGO"/>
    <m/>
    <m/>
    <m/>
  </r>
  <r>
    <d v="2026-03-18T00:00:00"/>
    <s v="Taxi:  Bureau- Cabinet d'avocat/remise du chèque du mois déc 2025, janv et fév 2026 Me LOCKO"/>
    <x v="0"/>
    <x v="2"/>
    <n v="1000"/>
    <n v="1.867727535907062"/>
    <n v="535.41"/>
    <x v="2"/>
    <s v="P-M-D1"/>
    <s v="PALF"/>
    <s v="Aspinall"/>
    <s v="CONGO"/>
    <m/>
    <m/>
    <m/>
  </r>
  <r>
    <d v="2026-03-18T00:00:00"/>
    <s v="Taxi:  Cabinet d'Avocat - Domicile"/>
    <x v="0"/>
    <x v="2"/>
    <n v="1000"/>
    <n v="1.867727535907062"/>
    <n v="535.41"/>
    <x v="2"/>
    <s v="P-M-D1"/>
    <s v="PALF"/>
    <s v="Aspinall"/>
    <s v="CONGO"/>
    <m/>
    <m/>
    <m/>
  </r>
  <r>
    <d v="2026-03-18T00:00:00"/>
    <s v="Achat billet brazzaville-ouesso/P29"/>
    <x v="4"/>
    <x v="3"/>
    <n v="12000"/>
    <n v="22.412730430884743"/>
    <n v="535.41"/>
    <x v="6"/>
    <s v="P29-M-R12"/>
    <s v="PALF"/>
    <s v="Aspinall"/>
    <s v="CONGO"/>
    <m/>
    <m/>
    <m/>
  </r>
  <r>
    <d v="2026-03-18T00:00:00"/>
    <s v="Credit telephonique MTN PALF/ du18  au 23 Mars 2026/ Investigation/P29"/>
    <x v="1"/>
    <x v="3"/>
    <n v="7500"/>
    <n v="14.007956519302965"/>
    <n v="535.41"/>
    <x v="6"/>
    <s v="P29-M-R13"/>
    <s v="PALF"/>
    <s v="Aspinall"/>
    <s v="CONGO"/>
    <m/>
    <m/>
    <m/>
  </r>
  <r>
    <d v="2026-03-18T00:00:00"/>
    <s v="taxi : hotel - agence trans bony ( départ pour Brazzaville)"/>
    <x v="0"/>
    <x v="3"/>
    <n v="500"/>
    <n v="0.93386376795353099"/>
    <n v="535.41"/>
    <x v="3"/>
    <s v="T73-M-D1"/>
    <s v="PALF"/>
    <s v="Aspinall"/>
    <s v="CONGO"/>
    <m/>
    <m/>
    <m/>
  </r>
  <r>
    <d v="2026-03-18T00:00:00"/>
    <s v="Taxi : agence bony - domicile"/>
    <x v="0"/>
    <x v="3"/>
    <n v="1000"/>
    <n v="1.867727535907062"/>
    <n v="535.41"/>
    <x v="3"/>
    <s v="T73-M-D1"/>
    <s v="PALF"/>
    <s v="Aspinall"/>
    <s v="CONGO"/>
    <m/>
    <m/>
    <m/>
  </r>
  <r>
    <d v="2026-03-18T00:00:00"/>
    <s v="Taxi : hotel - centre ville (prospection)"/>
    <x v="0"/>
    <x v="3"/>
    <n v="500"/>
    <n v="0.93386376795353099"/>
    <n v="535.41"/>
    <x v="3"/>
    <s v="T73-M-D1"/>
    <s v="PALF"/>
    <s v="Aspinall"/>
    <s v="CONGO"/>
    <m/>
    <m/>
    <m/>
  </r>
  <r>
    <d v="2026-03-18T00:00:00"/>
    <s v="Taxi : hotel - centre ville (prospection)"/>
    <x v="0"/>
    <x v="3"/>
    <n v="500"/>
    <n v="0.93386376795353099"/>
    <n v="535.41"/>
    <x v="3"/>
    <s v="T73-M-D1"/>
    <s v="PALF"/>
    <s v="Aspinall"/>
    <s v="CONGO"/>
    <m/>
    <m/>
    <m/>
  </r>
  <r>
    <d v="2026-03-18T00:00:00"/>
    <s v="Taxi : centre ville - marché (prospection)"/>
    <x v="0"/>
    <x v="3"/>
    <n v="500"/>
    <n v="0.93386376795353099"/>
    <n v="535.41"/>
    <x v="3"/>
    <s v="T73-M-D1"/>
    <s v="PALF"/>
    <s v="Aspinall"/>
    <s v="CONGO"/>
    <m/>
    <m/>
    <m/>
  </r>
  <r>
    <d v="2026-03-18T00:00:00"/>
    <s v="Taxi : marché - charden farel (prospection)"/>
    <x v="0"/>
    <x v="3"/>
    <n v="500"/>
    <n v="0.93386376795353099"/>
    <n v="535.41"/>
    <x v="3"/>
    <s v="T73-M-D1"/>
    <s v="PALF"/>
    <s v="Aspinall"/>
    <s v="CONGO"/>
    <m/>
    <m/>
    <m/>
  </r>
  <r>
    <d v="2026-03-18T00:00:00"/>
    <s v="Taxi : charden  - anciene piste (prospection)"/>
    <x v="0"/>
    <x v="3"/>
    <n v="500"/>
    <n v="0.93386376795353099"/>
    <n v="535.41"/>
    <x v="3"/>
    <s v="T73-M-D1"/>
    <s v="PALF"/>
    <s v="Aspinall"/>
    <s v="CONGO"/>
    <m/>
    <m/>
    <m/>
  </r>
  <r>
    <d v="2026-03-18T00:00:00"/>
    <s v="Taxi : anciene piste - zone aéroport (prospection)"/>
    <x v="0"/>
    <x v="3"/>
    <n v="500"/>
    <n v="0.93386376795353099"/>
    <n v="535.41"/>
    <x v="3"/>
    <s v="T73-M-D1"/>
    <s v="PALF"/>
    <s v="Aspinall"/>
    <s v="CONGO"/>
    <m/>
    <m/>
    <m/>
  </r>
  <r>
    <d v="2026-03-18T00:00:00"/>
    <s v="Taxi : zone aéroport - hotel (prospection)"/>
    <x v="0"/>
    <x v="3"/>
    <n v="500"/>
    <n v="0.93386376795353099"/>
    <n v="535.41"/>
    <x v="3"/>
    <s v="T73-M-D1"/>
    <s v="PALF"/>
    <s v="Aspinall"/>
    <s v="CONGO"/>
    <m/>
    <m/>
    <m/>
  </r>
  <r>
    <d v="2026-03-18T00:00:00"/>
    <s v="achat boissons : une cible"/>
    <x v="3"/>
    <x v="3"/>
    <n v="2000"/>
    <n v="3.735455071814124"/>
    <n v="535.41"/>
    <x v="3"/>
    <s v="T73-M-D2"/>
    <s v="PALF"/>
    <s v="Aspinall"/>
    <s v="CONGO"/>
    <m/>
    <m/>
    <m/>
  </r>
  <r>
    <d v="2026-03-18T00:00:00"/>
    <s v="Credit telephonique MTN PALF/ du 18 au 24 Mars 2026/ Investigation/T73"/>
    <x v="1"/>
    <x v="3"/>
    <n v="7500"/>
    <n v="14.007956519302965"/>
    <n v="535.41"/>
    <x v="3"/>
    <s v="T73-M-R21"/>
    <s v="PALF"/>
    <s v="Aspinall"/>
    <s v="CONGO"/>
    <m/>
    <m/>
    <m/>
  </r>
  <r>
    <d v="2026-03-18T00:00:00"/>
    <s v="Taxi : Bureau - Agence Trans Bony/ Achat billet de P29"/>
    <x v="0"/>
    <x v="3"/>
    <n v="1000"/>
    <n v="1.867727535907062"/>
    <n v="535.41"/>
    <x v="4"/>
    <s v="IT87-M-D1"/>
    <s v="PALF"/>
    <s v="Aspinall"/>
    <s v="CONGO"/>
    <m/>
    <m/>
    <m/>
  </r>
  <r>
    <d v="2026-03-18T00:00:00"/>
    <s v="Taxi : Agence Trans Bony - Bureau/ Retour d'achat du billet de P29"/>
    <x v="0"/>
    <x v="3"/>
    <n v="1000"/>
    <n v="1.867727535907062"/>
    <n v="535.41"/>
    <x v="4"/>
    <s v="IT87-M-D1"/>
    <s v="PALF"/>
    <s v="Aspinall"/>
    <s v="CONGO"/>
    <m/>
    <m/>
    <m/>
  </r>
  <r>
    <d v="2026-03-18T00:00:00"/>
    <s v="Credit telephonique MTN PALF/du 18 au 24 Mars 2026/Investigation/IT87"/>
    <x v="1"/>
    <x v="3"/>
    <n v="7500"/>
    <n v="14.007956519302965"/>
    <n v="535.41"/>
    <x v="4"/>
    <s v="IT87-M-R17"/>
    <s v="PALF"/>
    <s v="Aspinall"/>
    <s v="CONGO"/>
    <m/>
    <m/>
    <m/>
  </r>
  <r>
    <d v="2026-03-18T00:00:00"/>
    <s v="Credit telephonique MTN PALF/ du 18 au 24 Mars 2026/Legal//Donald-Roméo"/>
    <x v="1"/>
    <x v="1"/>
    <n v="7500"/>
    <n v="14.007956519302965"/>
    <n v="535.41"/>
    <x v="7"/>
    <s v="DR-M-R3"/>
    <s v="PALF"/>
    <s v="Aspinall"/>
    <s v="CONGO"/>
    <m/>
    <m/>
    <m/>
  </r>
  <r>
    <d v="2026-03-18T00:00:00"/>
    <s v="Credit telephonique MTN PALF/du 18 au 24 Mars 2026/Evariste/ Evariste"/>
    <x v="1"/>
    <x v="4"/>
    <n v="7500"/>
    <n v="14.007956519302965"/>
    <n v="535.41"/>
    <x v="8"/>
    <s v="EV-M-R3"/>
    <s v="PALF"/>
    <s v="Aspinall"/>
    <s v="CONGO"/>
    <m/>
    <m/>
    <m/>
  </r>
  <r>
    <d v="2026-03-18T00:00:00"/>
    <s v="Credit telephonique MTN PALF/du 18 au 24 Mars 2026/Legal/Romain"/>
    <x v="1"/>
    <x v="1"/>
    <n v="5000"/>
    <n v="9.3386376795353101"/>
    <n v="535.41"/>
    <x v="9"/>
    <s v="RM-M-R3"/>
    <s v="PALF"/>
    <s v="Aspinall"/>
    <s v="CONGO"/>
    <m/>
    <m/>
    <m/>
  </r>
  <r>
    <d v="2026-03-19T00:00:00"/>
    <s v="Maison-Bureau"/>
    <x v="0"/>
    <x v="0"/>
    <n v="1000"/>
    <n v="1.9254803020356539"/>
    <n v="519.35093749999999"/>
    <x v="0"/>
    <s v="DH-M-D1"/>
    <s v="PALF"/>
    <s v="Aspinall"/>
    <s v="CONGO"/>
    <m/>
    <m/>
    <m/>
  </r>
  <r>
    <d v="2026-03-19T00:00:00"/>
    <s v="Bureau - Aspinall"/>
    <x v="0"/>
    <x v="0"/>
    <n v="1000"/>
    <n v="1.9254803020356539"/>
    <n v="519.35093749999999"/>
    <x v="0"/>
    <s v="DH-M-D1"/>
    <s v="PALF"/>
    <s v="Aspinall"/>
    <s v="CONGO"/>
    <m/>
    <m/>
    <m/>
  </r>
  <r>
    <d v="2026-03-19T00:00:00"/>
    <s v="Aspinall-Bureau"/>
    <x v="0"/>
    <x v="0"/>
    <n v="1000"/>
    <n v="1.9254803020356539"/>
    <n v="519.35093749999999"/>
    <x v="0"/>
    <s v="DH-M-D1"/>
    <s v="PALF"/>
    <s v="Aspinall"/>
    <s v="CONGO"/>
    <m/>
    <m/>
    <m/>
  </r>
  <r>
    <d v="2026-03-19T00:00:00"/>
    <s v="Bureau-Maison"/>
    <x v="0"/>
    <x v="0"/>
    <n v="1000"/>
    <n v="1.9254803020356539"/>
    <n v="519.35093749999999"/>
    <x v="0"/>
    <s v="DH-M-D1"/>
    <s v="PALF"/>
    <s v="Aspinall"/>
    <s v="CONGO"/>
    <m/>
    <m/>
    <m/>
  </r>
  <r>
    <d v="2026-03-19T00:00:00"/>
    <s v="Taxi: Bureau - Societé d'assurances SUNU/ paiement assurance multirisque bureau PALF"/>
    <x v="0"/>
    <x v="2"/>
    <n v="1000"/>
    <n v="1.867727535907062"/>
    <n v="535.41"/>
    <x v="2"/>
    <s v="P-M-D1"/>
    <s v="PALF"/>
    <s v="Aspinall"/>
    <s v="CONGO"/>
    <m/>
    <m/>
    <m/>
  </r>
  <r>
    <d v="2026-03-19T00:00:00"/>
    <s v="Taxi:  Societé d'assurances SUNU-Bureau"/>
    <x v="0"/>
    <x v="2"/>
    <n v="1000"/>
    <n v="1.867727535907062"/>
    <n v="535.41"/>
    <x v="2"/>
    <s v="P-M-D1"/>
    <s v="PALF"/>
    <s v="Aspinall"/>
    <s v="CONGO"/>
    <m/>
    <m/>
    <m/>
  </r>
  <r>
    <d v="2026-03-19T00:00:00"/>
    <s v="Taxi domicile-agence,départ mission"/>
    <x v="0"/>
    <x v="3"/>
    <n v="1500"/>
    <n v="2.8015913038605929"/>
    <n v="535.41"/>
    <x v="6"/>
    <s v="P29-M-D1"/>
    <s v="PALF"/>
    <s v="Aspinall"/>
    <s v="CONGO"/>
    <m/>
    <m/>
    <m/>
  </r>
  <r>
    <d v="2026-03-19T00:00:00"/>
    <s v="Taxi agence-hotel"/>
    <x v="0"/>
    <x v="3"/>
    <n v="500"/>
    <n v="0.93386376795353099"/>
    <n v="535.41"/>
    <x v="6"/>
    <s v="P29-M-D1"/>
    <s v="PALF"/>
    <s v="Aspinall"/>
    <s v="CONGO"/>
    <m/>
    <m/>
    <m/>
  </r>
  <r>
    <d v="2026-03-19T00:00:00"/>
    <s v="P29 - CONGO Ration  du 19/03 au 05/04/2025 à ouesso,pokola (17 Nuitées)"/>
    <x v="5"/>
    <x v="3"/>
    <n v="170000"/>
    <n v="317.51368110420054"/>
    <n v="535.41"/>
    <x v="6"/>
    <s v="P29-M-D4"/>
    <s v="PALF"/>
    <s v="Aspinall"/>
    <s v="CONGO"/>
    <m/>
    <m/>
    <m/>
  </r>
  <r>
    <d v="2026-03-19T00:00:00"/>
    <s v="Taxi : hotel - port (prospecton)"/>
    <x v="0"/>
    <x v="3"/>
    <n v="500"/>
    <n v="0.93386376795353099"/>
    <n v="535.41"/>
    <x v="3"/>
    <s v="T73-M-D1"/>
    <s v="PALF"/>
    <s v="Aspinall"/>
    <s v="CONGO"/>
    <m/>
    <m/>
    <m/>
  </r>
  <r>
    <d v="2026-03-19T00:00:00"/>
    <s v="Taxi : port - centre ville (prospecton)"/>
    <x v="0"/>
    <x v="3"/>
    <n v="500"/>
    <n v="0.93386376795353099"/>
    <n v="535.41"/>
    <x v="3"/>
    <s v="T73-M-D1"/>
    <s v="PALF"/>
    <s v="Aspinall"/>
    <s v="CONGO"/>
    <m/>
    <m/>
    <m/>
  </r>
  <r>
    <d v="2026-03-19T00:00:00"/>
    <s v="Taxi : centre ville - zone Macdo(prospecton)"/>
    <x v="0"/>
    <x v="3"/>
    <n v="500"/>
    <n v="0.93386376795353099"/>
    <n v="535.41"/>
    <x v="3"/>
    <s v="T73-M-D1"/>
    <s v="PALF"/>
    <s v="Aspinall"/>
    <s v="CONGO"/>
    <m/>
    <m/>
    <m/>
  </r>
  <r>
    <d v="2026-03-19T00:00:00"/>
    <s v="Taxi : zone Macdo - hotel(prospecton)"/>
    <x v="0"/>
    <x v="3"/>
    <n v="500"/>
    <n v="0.93386376795353099"/>
    <n v="535.41"/>
    <x v="3"/>
    <s v="T73-M-D1"/>
    <s v="PALF"/>
    <s v="Aspinall"/>
    <s v="CONGO"/>
    <m/>
    <m/>
    <m/>
  </r>
  <r>
    <d v="2026-03-19T00:00:00"/>
    <s v="Reglement frais d'assurance multi risque/Bureau PALF/3655254"/>
    <x v="8"/>
    <x v="2"/>
    <n v="217164"/>
    <n v="405.60318260772124"/>
    <n v="535.41"/>
    <x v="5"/>
    <s v="BQ-M-R31"/>
    <s v="PALF"/>
    <s v="Aspinall"/>
    <s v="CONGO"/>
    <m/>
    <m/>
    <m/>
  </r>
  <r>
    <d v="2026-03-20T00:00:00"/>
    <s v="Maison-Bureau"/>
    <x v="0"/>
    <x v="0"/>
    <n v="1000"/>
    <n v="1.9254803020356539"/>
    <n v="519.35093749999999"/>
    <x v="0"/>
    <s v="DH-M-D1"/>
    <s v="PALF"/>
    <s v="Aspinall"/>
    <s v="CONGO"/>
    <m/>
    <m/>
    <m/>
  </r>
  <r>
    <d v="2026-03-20T00:00:00"/>
    <s v="Bureau- Maison"/>
    <x v="0"/>
    <x v="0"/>
    <n v="1000"/>
    <n v="1.8771635173931283"/>
    <n v="532.71864210781655"/>
    <x v="0"/>
    <s v="DH-M-D1"/>
    <s v="PALF"/>
    <s v="Aspinall"/>
    <s v="CONGO"/>
    <m/>
    <m/>
    <m/>
  </r>
  <r>
    <d v="2026-03-20T00:00:00"/>
    <s v="Taxi:  Bureau- Charden farell/ transfert d'argent à  P29"/>
    <x v="0"/>
    <x v="2"/>
    <n v="500"/>
    <n v="0.93386376795353099"/>
    <n v="535.41"/>
    <x v="2"/>
    <s v="P-M-D1"/>
    <s v="PALF"/>
    <s v="Aspinall"/>
    <s v="CONGO"/>
    <m/>
    <m/>
    <m/>
  </r>
  <r>
    <d v="2026-03-20T00:00:00"/>
    <s v="Taxi: Charden Farell-Bureau"/>
    <x v="0"/>
    <x v="2"/>
    <n v="500"/>
    <n v="0.93386376795353099"/>
    <n v="535.41"/>
    <x v="2"/>
    <s v="P-M-D1"/>
    <s v="PALF"/>
    <s v="Aspinall"/>
    <s v="CONGO"/>
    <m/>
    <m/>
    <m/>
  </r>
  <r>
    <d v="2026-03-20T00:00:00"/>
    <s v="Taxi:  Bureau- Charden farell/ transfert d'argent à  T73"/>
    <x v="0"/>
    <x v="2"/>
    <n v="500"/>
    <n v="0.93386376795353099"/>
    <n v="535.41"/>
    <x v="2"/>
    <s v="P-M-D1"/>
    <s v="PALF"/>
    <s v="Aspinall"/>
    <s v="CONGO"/>
    <m/>
    <m/>
    <m/>
  </r>
  <r>
    <d v="2026-03-20T00:00:00"/>
    <s v="Taxi: Charden Farell-Bureau"/>
    <x v="0"/>
    <x v="2"/>
    <n v="500"/>
    <n v="0.93386376795353099"/>
    <n v="535.41"/>
    <x v="2"/>
    <s v="P-M-D1"/>
    <s v="PALF"/>
    <s v="Aspinall"/>
    <s v="CONGO"/>
    <m/>
    <m/>
    <m/>
  </r>
  <r>
    <d v="2026-03-20T00:00:00"/>
    <s v="Taxi hotel-port,départ pour pokola"/>
    <x v="0"/>
    <x v="3"/>
    <n v="500"/>
    <n v="0.93386376795353099"/>
    <n v="535.41"/>
    <x v="6"/>
    <s v="P29-M-D1"/>
    <s v="PALF"/>
    <s v="Aspinall"/>
    <s v="CONGO"/>
    <m/>
    <m/>
    <m/>
  </r>
  <r>
    <d v="2026-03-20T00:00:00"/>
    <s v="Pirroque ouesso-pokola"/>
    <x v="0"/>
    <x v="3"/>
    <n v="1000"/>
    <n v="1.867727535907062"/>
    <n v="535.41"/>
    <x v="6"/>
    <s v="P29-M-D1"/>
    <s v="PALF"/>
    <s v="Aspinall"/>
    <s v="CONGO"/>
    <m/>
    <m/>
    <m/>
  </r>
  <r>
    <d v="2026-03-20T00:00:00"/>
    <s v="Achat billet ouesso-pokola"/>
    <x v="4"/>
    <x v="3"/>
    <n v="2000"/>
    <n v="3.735455071814124"/>
    <n v="535.41"/>
    <x v="6"/>
    <s v="P29-M-R14"/>
    <s v="PALF"/>
    <s v="Aspinall"/>
    <s v="CONGO"/>
    <m/>
    <m/>
    <m/>
  </r>
  <r>
    <d v="2026-03-20T00:00:00"/>
    <s v="Taxi moto parking-hotel,arrivé à pokola"/>
    <x v="0"/>
    <x v="3"/>
    <n v="500"/>
    <n v="0.93386376795353099"/>
    <n v="535.41"/>
    <x v="6"/>
    <s v="P29-M-D1"/>
    <s v="PALF"/>
    <s v="Aspinall"/>
    <s v="CONGO"/>
    <m/>
    <m/>
    <m/>
  </r>
  <r>
    <d v="2026-03-20T00:00:00"/>
    <s v="Taxi moto hotel-pète,repérage lieu op"/>
    <x v="0"/>
    <x v="3"/>
    <n v="500"/>
    <n v="0.93386376795353099"/>
    <n v="535.41"/>
    <x v="6"/>
    <s v="P29-M-D1"/>
    <s v="PALF"/>
    <s v="Aspinall"/>
    <s v="CONGO"/>
    <m/>
    <m/>
    <m/>
  </r>
  <r>
    <d v="2026-03-20T00:00:00"/>
    <s v="Taxi moto pète-makassa,repérage lieu op"/>
    <x v="0"/>
    <x v="3"/>
    <n v="500"/>
    <n v="0.93386376795353099"/>
    <n v="535.41"/>
    <x v="6"/>
    <s v="P29-M-D1"/>
    <s v="PALF"/>
    <s v="Aspinall"/>
    <s v="CONGO"/>
    <m/>
    <m/>
    <m/>
  </r>
  <r>
    <d v="2026-03-20T00:00:00"/>
    <s v="Taxi moto makassa-ngamakosso,repérage lieu op"/>
    <x v="0"/>
    <x v="3"/>
    <n v="500"/>
    <n v="0.93386376795353099"/>
    <n v="535.41"/>
    <x v="6"/>
    <s v="P29-M-D1"/>
    <s v="PALF"/>
    <s v="Aspinall"/>
    <s v="CONGO"/>
    <m/>
    <m/>
    <m/>
  </r>
  <r>
    <d v="2026-03-20T00:00:00"/>
    <s v="Taxi moto ngamakosso-hotel"/>
    <x v="0"/>
    <x v="3"/>
    <n v="500"/>
    <n v="0.93386376795353099"/>
    <n v="535.41"/>
    <x v="6"/>
    <s v="P29-M-D1"/>
    <s v="PALF"/>
    <s v="Aspinall"/>
    <s v="CONGO"/>
    <m/>
    <m/>
    <m/>
  </r>
  <r>
    <d v="2026-03-20T00:00:00"/>
    <s v="P29 -CONGO Frais d'hotel du 19 au 20/03/2026 à ouesso(1 Nuitée)"/>
    <x v="5"/>
    <x v="3"/>
    <n v="10000"/>
    <n v="18.67727535907062"/>
    <n v="535.41"/>
    <x v="6"/>
    <s v="P29-M-R15"/>
    <s v="PALF"/>
    <s v="Aspinall"/>
    <s v="CONGO"/>
    <m/>
    <m/>
    <m/>
  </r>
  <r>
    <d v="2026-03-20T00:00:00"/>
    <s v="Taxi : hotel - port ( prospection)"/>
    <x v="0"/>
    <x v="3"/>
    <n v="500"/>
    <n v="0.93386376795353099"/>
    <n v="535.41"/>
    <x v="3"/>
    <s v="T73-M-D1"/>
    <s v="PALF"/>
    <s v="Aspinall"/>
    <s v="CONGO"/>
    <m/>
    <m/>
    <m/>
  </r>
  <r>
    <d v="2026-03-20T00:00:00"/>
    <s v="Taxi : port - hotel  (travailler sur les 3 DOCS)"/>
    <x v="0"/>
    <x v="3"/>
    <n v="500"/>
    <n v="0.93386376795353099"/>
    <n v="535.41"/>
    <x v="3"/>
    <s v="T73-M-D1"/>
    <s v="PALF"/>
    <s v="Aspinall"/>
    <s v="CONGO"/>
    <m/>
    <m/>
    <m/>
  </r>
  <r>
    <d v="2026-03-20T00:00:00"/>
    <s v="Taxi : hotel - charden farel  (recuperer les fond)"/>
    <x v="0"/>
    <x v="3"/>
    <n v="500"/>
    <n v="0.93386376795353099"/>
    <n v="535.41"/>
    <x v="3"/>
    <s v="T73-M-D1"/>
    <s v="PALF"/>
    <s v="Aspinall"/>
    <s v="CONGO"/>
    <m/>
    <m/>
    <m/>
  </r>
  <r>
    <d v="2026-03-20T00:00:00"/>
    <s v="Taxi : charden farel - hotel  (travail sur les 3 DOCS)"/>
    <x v="0"/>
    <x v="3"/>
    <n v="500"/>
    <n v="0.93386376795353099"/>
    <n v="535.41"/>
    <x v="3"/>
    <s v="T73-M-D1"/>
    <s v="PALF"/>
    <s v="Aspinall"/>
    <s v="CONGO"/>
    <m/>
    <m/>
    <m/>
  </r>
  <r>
    <d v="2026-03-20T00:00:00"/>
    <s v="Taxi : Bureau - Agence Ocean du nord/ Achat billet"/>
    <x v="0"/>
    <x v="3"/>
    <n v="1000"/>
    <n v="1.867727535907062"/>
    <n v="535.41"/>
    <x v="4"/>
    <s v="IT87-M-D1"/>
    <s v="PALF"/>
    <s v="Aspinall"/>
    <s v="CONGO"/>
    <m/>
    <m/>
    <m/>
  </r>
  <r>
    <d v="2026-03-20T00:00:00"/>
    <s v="Achat billet Brazzaville - Sibiti/ IT87"/>
    <x v="4"/>
    <x v="3"/>
    <n v="9000"/>
    <n v="16.809547823163559"/>
    <n v="535.41"/>
    <x v="4"/>
    <s v="IT87-M-R18"/>
    <s v="PALF"/>
    <s v="Aspinall"/>
    <s v="CONGO"/>
    <m/>
    <m/>
    <m/>
  </r>
  <r>
    <d v="2026-03-20T00:00:00"/>
    <s v="Taxi : Agence Ocean du nord - Domicile/ Retour d'achat billet"/>
    <x v="0"/>
    <x v="3"/>
    <n v="2500"/>
    <n v="4.669318839767655"/>
    <n v="535.41"/>
    <x v="4"/>
    <s v="IT87-M-D1"/>
    <s v="PALF"/>
    <s v="Aspinall"/>
    <s v="CONGO"/>
    <m/>
    <m/>
    <m/>
  </r>
  <r>
    <d v="2026-03-21T00:00:00"/>
    <s v="Taxi moto hotel ngamakosso,reperege lieu op"/>
    <x v="0"/>
    <x v="3"/>
    <n v="500"/>
    <n v="0.93386376795353099"/>
    <n v="535.41"/>
    <x v="6"/>
    <s v="P29-M-D1"/>
    <s v="PALF"/>
    <s v="Aspinall"/>
    <s v="CONGO"/>
    <m/>
    <m/>
    <m/>
  </r>
  <r>
    <d v="2026-03-21T00:00:00"/>
    <s v="Taxi moto ngamakosso-makassa,reperage lieu op"/>
    <x v="0"/>
    <x v="3"/>
    <n v="500"/>
    <n v="0.93386376795353099"/>
    <n v="535.41"/>
    <x v="6"/>
    <s v="P29-M-D1"/>
    <s v="PALF"/>
    <s v="Aspinall"/>
    <s v="CONGO"/>
    <m/>
    <m/>
    <m/>
  </r>
  <r>
    <d v="2026-03-21T00:00:00"/>
    <s v="Taxi moto makassa-cib,reperage lieu op"/>
    <x v="0"/>
    <x v="3"/>
    <n v="500"/>
    <n v="0.93386376795353099"/>
    <n v="535.41"/>
    <x v="6"/>
    <s v="P29-M-D1"/>
    <s v="PALF"/>
    <s v="Aspinall"/>
    <s v="CONGO"/>
    <m/>
    <m/>
    <m/>
  </r>
  <r>
    <d v="2026-03-21T00:00:00"/>
    <s v="Taxi moto cib-hotel"/>
    <x v="0"/>
    <x v="3"/>
    <n v="500"/>
    <n v="0.93386376795353099"/>
    <n v="535.41"/>
    <x v="6"/>
    <s v="P29-M-D1"/>
    <s v="PALF"/>
    <s v="Aspinall"/>
    <s v="CONGO"/>
    <m/>
    <m/>
    <m/>
  </r>
  <r>
    <d v="2026-03-21T00:00:00"/>
    <s v="T73 - CONGO Frais d'hotel du 17 au 21/03/2026 à Ouesso (04 Nuitées)"/>
    <x v="5"/>
    <x v="3"/>
    <n v="40000"/>
    <n v="74.709101436282481"/>
    <n v="535.41"/>
    <x v="3"/>
    <s v="T73-M-R22"/>
    <s v="PALF"/>
    <s v="Aspinall"/>
    <s v="CONGO"/>
    <m/>
    <m/>
    <m/>
  </r>
  <r>
    <d v="2026-03-21T00:00:00"/>
    <s v="Taxi : hotel - port ( départ pour pokola)"/>
    <x v="0"/>
    <x v="3"/>
    <n v="500"/>
    <n v="0.93386376795353099"/>
    <n v="535.41"/>
    <x v="3"/>
    <s v="T73-M-D1"/>
    <s v="PALF"/>
    <s v="Aspinall"/>
    <s v="CONGO"/>
    <m/>
    <m/>
    <m/>
  </r>
  <r>
    <d v="2026-03-21T00:00:00"/>
    <s v="Achat billet : Ouesso - Pokola"/>
    <x v="4"/>
    <x v="3"/>
    <n v="2000"/>
    <n v="3.735455071814124"/>
    <n v="535.41"/>
    <x v="3"/>
    <s v="T73-M-R23"/>
    <s v="PALF"/>
    <s v="Aspinall"/>
    <s v="CONGO"/>
    <m/>
    <m/>
    <m/>
  </r>
  <r>
    <d v="2026-03-21T00:00:00"/>
    <s v="Traverser rivière sangha"/>
    <x v="0"/>
    <x v="3"/>
    <n v="1000"/>
    <n v="1.867727535907062"/>
    <n v="535.41"/>
    <x v="3"/>
    <s v="T73-M-D1"/>
    <s v="PALF"/>
    <s v="Aspinall"/>
    <s v="CONGO"/>
    <m/>
    <m/>
    <m/>
  </r>
  <r>
    <d v="2026-03-21T00:00:00"/>
    <s v="Taxi moto : gare routière - marché (attente )"/>
    <x v="0"/>
    <x v="3"/>
    <n v="500"/>
    <n v="0.93386376795353099"/>
    <n v="535.41"/>
    <x v="3"/>
    <s v="T73-M-D1"/>
    <s v="PALF"/>
    <s v="Aspinall"/>
    <s v="CONGO"/>
    <m/>
    <m/>
    <m/>
  </r>
  <r>
    <d v="2026-03-21T00:00:00"/>
    <s v="Taxi moto : marché - hotel (fin de journée )"/>
    <x v="0"/>
    <x v="3"/>
    <n v="500"/>
    <n v="0.93386376795353099"/>
    <n v="535.41"/>
    <x v="3"/>
    <s v="T73-M-D1"/>
    <s v="PALF"/>
    <s v="Aspinall"/>
    <s v="CONGO"/>
    <m/>
    <m/>
    <m/>
  </r>
  <r>
    <d v="2026-03-21T00:00:00"/>
    <s v="IT87- CONGO Ration du 21 au 28/03/2026 à Sibiti, Zanaga, Dolisie"/>
    <x v="5"/>
    <x v="3"/>
    <n v="70000"/>
    <n v="130.74092751349434"/>
    <n v="535.41"/>
    <x v="4"/>
    <s v="IT87-M-D5"/>
    <s v="PALF"/>
    <s v="Aspinall"/>
    <s v="CONGO"/>
    <m/>
    <m/>
    <m/>
  </r>
  <r>
    <d v="2026-03-21T00:00:00"/>
    <s v="Taxi : Domicile - Agence Ocean du nord/ Départ pour Sibiti"/>
    <x v="0"/>
    <x v="3"/>
    <n v="2500"/>
    <n v="4.669318839767655"/>
    <n v="535.41"/>
    <x v="4"/>
    <s v="IT87-M-D1"/>
    <s v="PALF"/>
    <s v="Aspinall"/>
    <s v="CONGO"/>
    <m/>
    <m/>
    <m/>
  </r>
  <r>
    <d v="2026-03-21T00:00:00"/>
    <s v="Taxi moto : Agence Ocean du nord - Hôtel Papyrus/ Arrivé à Sibiti"/>
    <x v="0"/>
    <x v="3"/>
    <n v="500"/>
    <n v="0.93386376795353099"/>
    <n v="535.41"/>
    <x v="4"/>
    <s v="IT87-M-D1"/>
    <s v="PALF"/>
    <s v="Aspinall"/>
    <s v="CONGO"/>
    <m/>
    <m/>
    <m/>
  </r>
  <r>
    <d v="2026-03-22T00:00:00"/>
    <s v="Taxi moto : hotel - grande avenue (fin de journée )"/>
    <x v="0"/>
    <x v="3"/>
    <n v="500"/>
    <n v="0.93386376795353099"/>
    <n v="535.41"/>
    <x v="3"/>
    <s v="T73-M-D1"/>
    <s v="PALF"/>
    <s v="Aspinall"/>
    <s v="CONGO"/>
    <m/>
    <m/>
    <m/>
  </r>
  <r>
    <d v="2026-03-22T00:00:00"/>
    <s v="T73 - CONGO Frais d'hotel du 21 au 22/03/2026 à Pokola (01 Nuitée)"/>
    <x v="5"/>
    <x v="3"/>
    <n v="10000"/>
    <n v="18.67727535907062"/>
    <n v="535.41"/>
    <x v="3"/>
    <s v="T73-M-D4"/>
    <s v="PALF"/>
    <s v="Aspinall"/>
    <s v="CONGO"/>
    <m/>
    <m/>
    <m/>
  </r>
  <r>
    <d v="2026-03-22T00:00:00"/>
    <s v="location moto : Pokola - Mboua (départ pour Mboua en prenant une autre moto au village ndoki)"/>
    <x v="4"/>
    <x v="3"/>
    <n v="20000"/>
    <n v="37.35455071814124"/>
    <n v="535.41"/>
    <x v="3"/>
    <s v="T73-M-R24"/>
    <s v="PALF"/>
    <s v="Aspinall"/>
    <s v="CONGO"/>
    <m/>
    <m/>
    <m/>
  </r>
  <r>
    <d v="2026-03-22T00:00:00"/>
    <s v="Taxi moto : Hôtel - Gare routière/ Départ pour Zanaga"/>
    <x v="0"/>
    <x v="3"/>
    <n v="500"/>
    <n v="0.93386376795353099"/>
    <n v="535.41"/>
    <x v="4"/>
    <s v="IT87-M-D1"/>
    <s v="PALF"/>
    <s v="Aspinall"/>
    <s v="CONGO"/>
    <m/>
    <m/>
    <m/>
  </r>
  <r>
    <d v="2026-03-22T00:00:00"/>
    <s v="Taxi moto : Grae routière - Hôtel/ Renvoi du voyage"/>
    <x v="0"/>
    <x v="3"/>
    <n v="500"/>
    <n v="0.93386376795353099"/>
    <n v="535.41"/>
    <x v="4"/>
    <s v="IT87-M-D1"/>
    <s v="PALF"/>
    <s v="Aspinall"/>
    <s v="CONGO"/>
    <m/>
    <m/>
    <m/>
  </r>
  <r>
    <d v="2026-03-23T00:00:00"/>
    <s v="Maison -Bureau"/>
    <x v="0"/>
    <x v="0"/>
    <n v="1000"/>
    <n v="1.9254803020356539"/>
    <n v="519.35093749999999"/>
    <x v="0"/>
    <s v="DH-M-D1"/>
    <s v="PALF"/>
    <s v="Aspinall"/>
    <s v="CONGO"/>
    <m/>
    <m/>
    <m/>
  </r>
  <r>
    <d v="2026-03-23T00:00:00"/>
    <s v="Bureau-Parc Zoologique"/>
    <x v="0"/>
    <x v="0"/>
    <n v="1000"/>
    <n v="1.9254803020356539"/>
    <n v="519.35093749999999"/>
    <x v="0"/>
    <s v="DH-M-D1"/>
    <s v="PALF"/>
    <s v="Aspinall"/>
    <s v="CONGO"/>
    <m/>
    <m/>
    <m/>
  </r>
  <r>
    <d v="2026-03-23T00:00:00"/>
    <s v="Parc Zoologique - Bureau"/>
    <x v="0"/>
    <x v="0"/>
    <n v="1000"/>
    <n v="1.9254803020356539"/>
    <n v="519.35093749999999"/>
    <x v="0"/>
    <s v="DH-M-D1"/>
    <s v="PALF"/>
    <s v="Aspinall"/>
    <s v="CONGO"/>
    <m/>
    <m/>
    <m/>
  </r>
  <r>
    <d v="2026-03-23T00:00:00"/>
    <s v="Bureau-WWF"/>
    <x v="0"/>
    <x v="0"/>
    <n v="1000"/>
    <n v="1.9254803020356539"/>
    <n v="519.35093749999999"/>
    <x v="0"/>
    <s v="DH-M-D1"/>
    <s v="PALF"/>
    <s v="Aspinall"/>
    <s v="CONGO"/>
    <m/>
    <m/>
    <m/>
  </r>
  <r>
    <d v="2026-03-23T00:00:00"/>
    <s v="WWF-Bureau"/>
    <x v="0"/>
    <x v="0"/>
    <n v="1000"/>
    <n v="1.9254803020356539"/>
    <n v="519.35093749999999"/>
    <x v="0"/>
    <s v="DH-M-D1"/>
    <s v="PALF"/>
    <s v="Aspinall"/>
    <s v="CONGO"/>
    <m/>
    <m/>
    <m/>
  </r>
  <r>
    <d v="2026-03-23T00:00:00"/>
    <s v="Bureau - Maison"/>
    <x v="0"/>
    <x v="0"/>
    <n v="1000"/>
    <n v="1.9254803020356539"/>
    <n v="519.35093749999999"/>
    <x v="0"/>
    <s v="DH-M-D1"/>
    <s v="PALF"/>
    <s v="Aspinall"/>
    <s v="CONGO"/>
    <m/>
    <m/>
    <m/>
  </r>
  <r>
    <d v="2026-03-23T00:00:00"/>
    <s v="Frais de tansfert d'argent  à IT87 par momo"/>
    <x v="9"/>
    <x v="2"/>
    <n v="2520"/>
    <n v="4.706673390485796"/>
    <n v="535.41"/>
    <x v="2"/>
    <s v="CA-M-R15"/>
    <s v="PALF"/>
    <s v="Aspinall"/>
    <s v="CONGO"/>
    <m/>
    <m/>
    <m/>
  </r>
  <r>
    <d v="2026-03-23T00:00:00"/>
    <s v="Taxi: Bureau- Direction MTN / transfert d'argent à IT87"/>
    <x v="0"/>
    <x v="2"/>
    <n v="1000"/>
    <n v="1.867727535907062"/>
    <n v="535.41"/>
    <x v="2"/>
    <s v="P-M-D1"/>
    <s v="PALF"/>
    <s v="Aspinall"/>
    <s v="CONGO"/>
    <m/>
    <m/>
    <m/>
  </r>
  <r>
    <d v="2026-03-23T00:00:00"/>
    <s v="Taxi: Direction MTN - Bureau"/>
    <x v="0"/>
    <x v="2"/>
    <n v="1000"/>
    <n v="1.867727535907062"/>
    <n v="535.41"/>
    <x v="2"/>
    <s v="P-M-D1"/>
    <s v="PALF"/>
    <s v="Aspinall"/>
    <s v="CONGO"/>
    <m/>
    <m/>
    <m/>
  </r>
  <r>
    <d v="2026-03-23T00:00:00"/>
    <s v="Taxi moto : Mboua - village Mpene (vérifcation produit Pluie dimi tour pour Mboua)/A/R"/>
    <x v="4"/>
    <x v="3"/>
    <n v="8000"/>
    <n v="14.941820287256496"/>
    <n v="535.41"/>
    <x v="3"/>
    <s v="T73-M-R25"/>
    <s v="PALF"/>
    <s v="Aspinall"/>
    <s v="CONGO"/>
    <m/>
    <m/>
    <m/>
  </r>
  <r>
    <d v="2026-03-23T00:00:00"/>
    <s v="IT87- CONGO Frais d'hôtel  du 21 au 23/03/2026 à Sibiti (02 Nuitées)"/>
    <x v="5"/>
    <x v="3"/>
    <n v="20000"/>
    <n v="37.35455071814124"/>
    <n v="535.41"/>
    <x v="4"/>
    <s v="IT87-M-R19"/>
    <s v="PALF"/>
    <s v="Aspinall"/>
    <s v="CONGO"/>
    <m/>
    <m/>
    <m/>
  </r>
  <r>
    <d v="2026-03-23T00:00:00"/>
    <s v="Taxi moto : Hôtel - Gare routière/ Départ pour Zanaga"/>
    <x v="0"/>
    <x v="3"/>
    <n v="500"/>
    <n v="0.93386376795353099"/>
    <n v="535.41"/>
    <x v="4"/>
    <s v="IT87-M-D1"/>
    <s v="PALF"/>
    <s v="Aspinall"/>
    <s v="CONGO"/>
    <m/>
    <m/>
    <m/>
  </r>
  <r>
    <d v="2026-03-23T00:00:00"/>
    <s v="Achat billet Sibiti - Zanaga/ IT87"/>
    <x v="4"/>
    <x v="3"/>
    <n v="9000"/>
    <n v="16.809547823163559"/>
    <n v="535.41"/>
    <x v="4"/>
    <s v="IT87-M-R20"/>
    <s v="PALF"/>
    <s v="Aspinall"/>
    <s v="CONGO"/>
    <m/>
    <m/>
    <m/>
  </r>
  <r>
    <d v="2026-03-23T00:00:00"/>
    <s v="Taxi moto : Gare routière - Hôtel Lewezo/ Arrivé à Zanaga"/>
    <x v="0"/>
    <x v="3"/>
    <n v="500"/>
    <n v="0.93386376795353099"/>
    <n v="535.41"/>
    <x v="4"/>
    <s v="IT87-M-D1"/>
    <s v="PALF"/>
    <s v="Aspinall"/>
    <s v="CONGO"/>
    <m/>
    <m/>
    <m/>
  </r>
  <r>
    <d v="2026-03-23T00:00:00"/>
    <s v="Taxi moto : Hôtel - Restaurent Chez mère Ngouomo/ Rencontre avec la cible"/>
    <x v="0"/>
    <x v="3"/>
    <n v="500"/>
    <n v="0.93386376795353099"/>
    <n v="535.41"/>
    <x v="4"/>
    <s v="IT87-M-D1"/>
    <s v="PALF"/>
    <s v="Aspinall"/>
    <s v="CONGO"/>
    <m/>
    <m/>
    <m/>
  </r>
  <r>
    <d v="2026-03-23T00:00:00"/>
    <s v="Taxi moto : Restaurant chez mère Ngouomo - Hôtel/ Retour du rendez-vous non tenu"/>
    <x v="0"/>
    <x v="3"/>
    <n v="500"/>
    <n v="0.93386376795353099"/>
    <n v="535.41"/>
    <x v="4"/>
    <s v="IT87-M-D1"/>
    <s v="PALF"/>
    <s v="Aspinall"/>
    <s v="CONGO"/>
    <m/>
    <m/>
    <m/>
  </r>
  <r>
    <d v="2026-03-23T00:00:00"/>
    <s v="Taxi moto : Hôtel - Restaurent Chez mère Ngouomo/ Rencontre avec la cible"/>
    <x v="0"/>
    <x v="3"/>
    <n v="500"/>
    <n v="0.93386376795353099"/>
    <n v="535.41"/>
    <x v="4"/>
    <s v="IT87-M-D1"/>
    <s v="PALF"/>
    <s v="Aspinall"/>
    <s v="CONGO"/>
    <m/>
    <m/>
    <m/>
  </r>
  <r>
    <d v="2026-03-23T00:00:00"/>
    <s v="Achat repas et boisons avec la cible"/>
    <x v="3"/>
    <x v="3"/>
    <n v="3400"/>
    <n v="6.3502736220840106"/>
    <n v="535.41"/>
    <x v="4"/>
    <s v="IT87-M-D2"/>
    <s v="PALF"/>
    <s v="Aspinall"/>
    <s v="CONGO"/>
    <m/>
    <m/>
    <m/>
  </r>
  <r>
    <d v="2026-03-23T00:00:00"/>
    <s v="Taxi moto : Restaurant chez mère Ngouomo - Place de la république/ Extraction"/>
    <x v="0"/>
    <x v="3"/>
    <n v="500"/>
    <n v="0.93386376795353099"/>
    <n v="535.41"/>
    <x v="4"/>
    <s v="IT87-M-D1"/>
    <s v="PALF"/>
    <s v="Aspinall"/>
    <s v="CONGO"/>
    <m/>
    <m/>
    <m/>
  </r>
  <r>
    <d v="2026-03-23T00:00:00"/>
    <s v="Taxi moto : Place de la république - Hôtel/ Retour du rendez-vous"/>
    <x v="0"/>
    <x v="3"/>
    <n v="500"/>
    <n v="0.93386376795353099"/>
    <n v="535.41"/>
    <x v="4"/>
    <s v="IT87-M-D1"/>
    <s v="PALF"/>
    <s v="Aspinall"/>
    <s v="CONGO"/>
    <m/>
    <m/>
    <m/>
  </r>
  <r>
    <d v="2026-03-24T00:00:00"/>
    <s v="Reglement assurance retraite Coordinateur periode Novembre, Décembre 2025 et Janvier 2026"/>
    <x v="2"/>
    <x v="0"/>
    <n v="150000"/>
    <n v="281.57452760896928"/>
    <n v="532.71864210781655"/>
    <x v="0"/>
    <s v="CA-M-R17"/>
    <s v="PALF"/>
    <s v="Aspinall"/>
    <s v="CONGO"/>
    <m/>
    <m/>
    <m/>
  </r>
  <r>
    <d v="2026-03-24T00:00:00"/>
    <s v="Maison-Bureau"/>
    <x v="0"/>
    <x v="0"/>
    <n v="1000"/>
    <n v="1.9254803020356539"/>
    <n v="519.35093749999999"/>
    <x v="0"/>
    <s v="DH-M-D1"/>
    <s v="PALF"/>
    <s v="Aspinall"/>
    <s v="CONGO"/>
    <m/>
    <m/>
    <m/>
  </r>
  <r>
    <d v="2026-03-24T00:00:00"/>
    <s v="Bureau- Maison"/>
    <x v="0"/>
    <x v="0"/>
    <n v="1000"/>
    <n v="1.9254803020356539"/>
    <n v="519.35093749999999"/>
    <x v="0"/>
    <s v="DH-M-D1"/>
    <s v="PALF"/>
    <s v="Aspinall"/>
    <s v="CONGO"/>
    <m/>
    <m/>
    <m/>
  </r>
  <r>
    <d v="2026-03-24T00:00:00"/>
    <s v="Credit telephonique MTN/PALF/ du 25 au 31 Mars 2026/ DOVI"/>
    <x v="1"/>
    <x v="0"/>
    <n v="10000"/>
    <n v="19.25480302035654"/>
    <n v="519.35093749999999"/>
    <x v="0"/>
    <s v="DH-M-R5"/>
    <s v="PALF"/>
    <s v="Aspinall"/>
    <s v="CONGO"/>
    <m/>
    <m/>
    <m/>
  </r>
  <r>
    <d v="2026-03-24T00:00:00"/>
    <s v="Credit telephonique MTN PALF/du 25   au 31 Mars 2026/Legal/ crepin"/>
    <x v="1"/>
    <x v="1"/>
    <n v="7500"/>
    <n v="14.007956519302965"/>
    <n v="535.41"/>
    <x v="1"/>
    <s v="CR-M-R4"/>
    <s v="PALF"/>
    <s v="Aspinall"/>
    <s v="CONGO"/>
    <m/>
    <m/>
    <m/>
  </r>
  <r>
    <d v="2026-03-24T00:00:00"/>
    <s v="Taxi: Bureau- Direction MTN / Achat crédit télephonique equipe PALF"/>
    <x v="0"/>
    <x v="2"/>
    <n v="1000"/>
    <n v="1.867727535907062"/>
    <n v="535.41"/>
    <x v="2"/>
    <s v="P-M-D1"/>
    <s v="PALF"/>
    <s v="Aspinall"/>
    <s v="CONGO"/>
    <m/>
    <m/>
    <m/>
  </r>
  <r>
    <d v="2026-03-24T00:00:00"/>
    <s v="Taxi: Direction MTN -NSAI/paiement assurance rétraite coordinateur PALF"/>
    <x v="0"/>
    <x v="2"/>
    <n v="500"/>
    <n v="0.93386376795353099"/>
    <n v="535.41"/>
    <x v="2"/>
    <s v="P-M-D1"/>
    <s v="PALF"/>
    <s v="Aspinall"/>
    <s v="CONGO"/>
    <m/>
    <m/>
    <m/>
  </r>
  <r>
    <d v="2026-03-24T00:00:00"/>
    <s v="Taxi: NSAI- Bureau"/>
    <x v="0"/>
    <x v="2"/>
    <n v="1000"/>
    <n v="1.867727535907062"/>
    <n v="535.41"/>
    <x v="2"/>
    <s v="P-M-D1"/>
    <s v="PALF"/>
    <s v="Aspinall"/>
    <s v="CONGO"/>
    <m/>
    <m/>
    <m/>
  </r>
  <r>
    <d v="2026-03-24T00:00:00"/>
    <s v="Credit teléphonique MTN PALF/ du 25 au 31 Mars 2026/Management/ Parfaite"/>
    <x v="1"/>
    <x v="0"/>
    <n v="5000"/>
    <n v="9.3386376795353101"/>
    <n v="535.41"/>
    <x v="2"/>
    <s v="P-M-R4"/>
    <s v="PALF"/>
    <s v="Aspinall"/>
    <s v="CONGO"/>
    <m/>
    <m/>
    <m/>
  </r>
  <r>
    <d v="2026-03-24T00:00:00"/>
    <s v="Taxi moto hotel-marché"/>
    <x v="0"/>
    <x v="3"/>
    <n v="500"/>
    <n v="0.93386376795353099"/>
    <n v="535.41"/>
    <x v="6"/>
    <s v="P29-M-D1"/>
    <s v="PALF"/>
    <s v="Aspinall"/>
    <s v="CONGO"/>
    <m/>
    <m/>
    <m/>
  </r>
  <r>
    <d v="2026-03-24T00:00:00"/>
    <s v="Achat billet pokola-Longa"/>
    <x v="4"/>
    <x v="3"/>
    <n v="3500"/>
    <n v="6.5370463756747172"/>
    <n v="535.41"/>
    <x v="6"/>
    <s v="P29-M-R16"/>
    <s v="PALF"/>
    <s v="Aspinall"/>
    <s v="CONGO"/>
    <m/>
    <m/>
    <m/>
  </r>
  <r>
    <d v="2026-03-24T00:00:00"/>
    <s v="Achat billet longa-pokola"/>
    <x v="4"/>
    <x v="3"/>
    <n v="3500"/>
    <n v="6.5370463756747172"/>
    <n v="535.41"/>
    <x v="6"/>
    <s v="P29-M-R17"/>
    <s v="PALF"/>
    <s v="Aspinall"/>
    <s v="CONGO"/>
    <m/>
    <m/>
    <m/>
  </r>
  <r>
    <d v="2026-03-24T00:00:00"/>
    <s v="Taxi moto quartier3-selio,prospection"/>
    <x v="0"/>
    <x v="3"/>
    <n v="500"/>
    <n v="0.93386376795353099"/>
    <n v="535.41"/>
    <x v="6"/>
    <s v="P29-M-D1"/>
    <s v="PALF"/>
    <s v="Aspinall"/>
    <s v="CONGO"/>
    <m/>
    <m/>
    <m/>
  </r>
  <r>
    <d v="2026-03-24T00:00:00"/>
    <s v="Taxi moto selio-marché,prospection"/>
    <x v="0"/>
    <x v="3"/>
    <n v="500"/>
    <n v="0.93386376795353099"/>
    <n v="535.41"/>
    <x v="6"/>
    <s v="P29-M-D1"/>
    <s v="PALF"/>
    <s v="Aspinall"/>
    <s v="CONGO"/>
    <m/>
    <m/>
    <m/>
  </r>
  <r>
    <d v="2026-03-24T00:00:00"/>
    <s v="Taxi moto marché-quartier2"/>
    <x v="0"/>
    <x v="3"/>
    <n v="500"/>
    <n v="0.93386376795353099"/>
    <n v="535.41"/>
    <x v="6"/>
    <s v="P29-M-D1"/>
    <s v="PALF"/>
    <s v="Aspinall"/>
    <s v="CONGO"/>
    <m/>
    <m/>
    <m/>
  </r>
  <r>
    <d v="2026-03-24T00:00:00"/>
    <s v="Achat boisson"/>
    <x v="3"/>
    <x v="3"/>
    <n v="2000"/>
    <n v="3.735455071814124"/>
    <n v="535.41"/>
    <x v="6"/>
    <s v="P29-M-D5"/>
    <s v="PALF"/>
    <s v="Aspinall"/>
    <s v="CONGO"/>
    <m/>
    <m/>
    <m/>
  </r>
  <r>
    <d v="2026-03-24T00:00:00"/>
    <s v="Credit telephonique MTN PALF/ du 25 au 31 Mars 2026/ Investigation/P29"/>
    <x v="1"/>
    <x v="3"/>
    <n v="7500"/>
    <n v="14.007956519302965"/>
    <n v="535.41"/>
    <x v="6"/>
    <s v="P29-M-R18"/>
    <s v="PALF"/>
    <s v="Aspinall"/>
    <s v="CONGO"/>
    <m/>
    <m/>
    <m/>
  </r>
  <r>
    <d v="2026-03-24T00:00:00"/>
    <s v="Taxi moto : Mboua - village Mbossa (rencontrer le chauffeur pour aller à Mpéné)"/>
    <x v="4"/>
    <x v="3"/>
    <n v="2000"/>
    <n v="3.735455071814124"/>
    <n v="535.41"/>
    <x v="3"/>
    <s v="T73-M-R26"/>
    <s v="PALF"/>
    <s v="Aspinall"/>
    <s v="CONGO"/>
    <m/>
    <m/>
    <m/>
  </r>
  <r>
    <d v="2026-03-24T00:00:00"/>
    <s v="Taxi moto : Mbossa - village Mpene (vérifcation produit pour une deuxième fois)"/>
    <x v="4"/>
    <x v="3"/>
    <n v="6000"/>
    <n v="11.206365215442371"/>
    <n v="535.41"/>
    <x v="3"/>
    <s v="T73-M-R27"/>
    <s v="PALF"/>
    <s v="Aspinall"/>
    <s v="CONGO"/>
    <m/>
    <m/>
    <m/>
  </r>
  <r>
    <d v="2026-03-24T00:00:00"/>
    <s v="Credit telephonique MTN PALF/ du 25 au 31 Mras 2026/ Investigation/T73"/>
    <x v="1"/>
    <x v="3"/>
    <n v="7500"/>
    <n v="14.007956519302965"/>
    <n v="535.41"/>
    <x v="3"/>
    <s v="T73-M-R28"/>
    <s v="PALF"/>
    <s v="Aspinall"/>
    <s v="CONGO"/>
    <m/>
    <m/>
    <m/>
  </r>
  <r>
    <d v="2026-03-24T00:00:00"/>
    <s v="Taxi moto : Hôtel - Avenue principal/ Rencontrer la cible"/>
    <x v="0"/>
    <x v="3"/>
    <n v="500"/>
    <n v="0.93386376795353099"/>
    <n v="535.41"/>
    <x v="4"/>
    <s v="IT87-M-D1"/>
    <s v="PALF"/>
    <s v="Aspinall"/>
    <s v="CONGO"/>
    <m/>
    <m/>
    <m/>
  </r>
  <r>
    <d v="2026-03-24T00:00:00"/>
    <s v="Taxi moto : Zanaga - Village Obili/ Rencontrer la cible "/>
    <x v="0"/>
    <x v="3"/>
    <n v="3500"/>
    <n v="6.5370463756747172"/>
    <n v="535.41"/>
    <x v="4"/>
    <s v="IT87-M-D1"/>
    <s v="PALF"/>
    <s v="Aspinall"/>
    <s v="CONGO"/>
    <m/>
    <m/>
    <m/>
  </r>
  <r>
    <d v="2026-03-24T00:00:00"/>
    <s v="Achat boissons avec 2 cibles"/>
    <x v="3"/>
    <x v="3"/>
    <n v="3000"/>
    <n v="5.6031826077211857"/>
    <n v="535.41"/>
    <x v="4"/>
    <s v="IT87-M-D2"/>
    <s v="PALF"/>
    <s v="Aspinall"/>
    <s v="CONGO"/>
    <m/>
    <m/>
    <m/>
  </r>
  <r>
    <d v="2026-03-24T00:00:00"/>
    <s v="Taxi moto : Village Obili - Zanaga/ Retour de la rencontre avec les cibles"/>
    <x v="0"/>
    <x v="3"/>
    <n v="3500"/>
    <n v="6.5370463756747172"/>
    <n v="535.41"/>
    <x v="4"/>
    <s v="IT87-M-D1"/>
    <s v="PALF"/>
    <s v="Aspinall"/>
    <s v="CONGO"/>
    <m/>
    <m/>
    <m/>
  </r>
  <r>
    <d v="2026-03-24T00:00:00"/>
    <s v="Taxi moto : Parking - Hôtel/ Arrivé à Zanaga"/>
    <x v="0"/>
    <x v="3"/>
    <n v="500"/>
    <n v="0.93386376795353099"/>
    <n v="535.41"/>
    <x v="4"/>
    <s v="IT87-M-D1"/>
    <s v="PALF"/>
    <s v="Aspinall"/>
    <s v="CONGO"/>
    <m/>
    <m/>
    <m/>
  </r>
  <r>
    <d v="2026-03-24T00:00:00"/>
    <s v="Credit telephonique MTN PALF/du 25 au 31 Mars 2026/Investigation/IT87"/>
    <x v="1"/>
    <x v="3"/>
    <n v="7500"/>
    <n v="14.007956519302965"/>
    <n v="535.41"/>
    <x v="4"/>
    <s v="IT87-M-R21"/>
    <s v="PALF"/>
    <s v="Aspinall"/>
    <s v="CONGO"/>
    <m/>
    <m/>
    <m/>
  </r>
  <r>
    <d v="2026-03-24T00:00:00"/>
    <s v="Credit telephonique MTN PALF/ du 25 au 31 Mars 2026/Legal//Donald-Roméo"/>
    <x v="1"/>
    <x v="1"/>
    <n v="7500"/>
    <n v="14.007956519302965"/>
    <n v="535.41"/>
    <x v="7"/>
    <s v="DR-M-R4"/>
    <s v="PALF"/>
    <s v="Aspinall"/>
    <s v="CONGO"/>
    <m/>
    <m/>
    <m/>
  </r>
  <r>
    <d v="2026-03-24T00:00:00"/>
    <s v="Credit telephonique MTN PALF/du 25 au 31 Mars 2026/Evariste/ Evariste"/>
    <x v="1"/>
    <x v="4"/>
    <n v="7500"/>
    <n v="14.007956519302965"/>
    <n v="535.41"/>
    <x v="8"/>
    <s v="EV-M-R4"/>
    <s v="PALF"/>
    <s v="Aspinall"/>
    <s v="CONGO"/>
    <m/>
    <m/>
    <m/>
  </r>
  <r>
    <d v="2026-03-24T00:00:00"/>
    <s v="Achat carburant groupe electrogène Bureau "/>
    <x v="10"/>
    <x v="2"/>
    <n v="62500"/>
    <n v="116.73297099419138"/>
    <n v="535.41"/>
    <x v="9"/>
    <s v="CA-M-R16"/>
    <s v="PALF"/>
    <s v="Aspinall"/>
    <s v="CONGO"/>
    <m/>
    <m/>
    <m/>
  </r>
  <r>
    <d v="2026-03-24T00:00:00"/>
    <s v="Credit telephonique MTN PALF/du 25 au 31 Mars 2026/Legal/Romain"/>
    <x v="1"/>
    <x v="1"/>
    <n v="5000"/>
    <n v="9.3386376795353101"/>
    <n v="535.41"/>
    <x v="9"/>
    <s v="RM-M-R4"/>
    <s v="PALF"/>
    <s v="Aspinall"/>
    <s v="CONGO"/>
    <m/>
    <m/>
    <m/>
  </r>
  <r>
    <d v="2026-03-25T00:00:00"/>
    <s v="Maison- Bureau"/>
    <x v="0"/>
    <x v="0"/>
    <n v="1000"/>
    <n v="1.9254803020356539"/>
    <n v="519.35093749999999"/>
    <x v="0"/>
    <s v="DH-M-D1"/>
    <s v="PALF"/>
    <s v="Aspinall"/>
    <s v="CONGO"/>
    <m/>
    <m/>
    <m/>
  </r>
  <r>
    <d v="2026-03-25T00:00:00"/>
    <s v="Bureau-Region de gendarmerie de Brazzaville"/>
    <x v="0"/>
    <x v="0"/>
    <n v="1000"/>
    <n v="1.9254803020356539"/>
    <n v="519.35093749999999"/>
    <x v="0"/>
    <s v="DH-M-D1"/>
    <s v="PALF"/>
    <s v="Aspinall"/>
    <s v="CONGO"/>
    <m/>
    <m/>
    <m/>
  </r>
  <r>
    <d v="2026-03-25T00:00:00"/>
    <s v="Région de gendarmerie-Bureau"/>
    <x v="0"/>
    <x v="0"/>
    <n v="1000"/>
    <n v="1.9254803020356539"/>
    <n v="519.35093749999999"/>
    <x v="0"/>
    <s v="DH-M-D1"/>
    <s v="PALF"/>
    <s v="Aspinall"/>
    <s v="CONGO"/>
    <m/>
    <m/>
    <m/>
  </r>
  <r>
    <d v="2026-03-25T00:00:00"/>
    <s v="Bureau- Aspinall"/>
    <x v="0"/>
    <x v="0"/>
    <n v="1000"/>
    <n v="1.9254803020356539"/>
    <n v="519.35093749999999"/>
    <x v="0"/>
    <s v="DH-M-D1"/>
    <s v="PALF"/>
    <s v="Aspinall"/>
    <s v="CONGO"/>
    <m/>
    <m/>
    <m/>
  </r>
  <r>
    <d v="2026-03-25T00:00:00"/>
    <s v="Aspinall- Bureau"/>
    <x v="0"/>
    <x v="0"/>
    <n v="1000"/>
    <n v="1.9254803020356539"/>
    <n v="519.35093749999999"/>
    <x v="0"/>
    <s v="DH-M-D1"/>
    <s v="PALF"/>
    <s v="Aspinall"/>
    <s v="CONGO"/>
    <m/>
    <m/>
    <m/>
  </r>
  <r>
    <d v="2026-03-25T00:00:00"/>
    <s v="Bureau-Maison"/>
    <x v="0"/>
    <x v="0"/>
    <n v="1000"/>
    <n v="1.9254803020356539"/>
    <n v="519.35093749999999"/>
    <x v="0"/>
    <s v="DH-M-D1"/>
    <s v="PALF"/>
    <s v="Aspinall"/>
    <s v="CONGO"/>
    <m/>
    <m/>
    <m/>
  </r>
  <r>
    <d v="2026-03-25T00:00:00"/>
    <s v="Frais de tansfert d'argent  à IT87 par momo"/>
    <x v="9"/>
    <x v="2"/>
    <n v="1610"/>
    <n v="3.00704133281037"/>
    <n v="535.41"/>
    <x v="2"/>
    <s v="CA-M-R18"/>
    <s v="PALF"/>
    <s v="Aspinall"/>
    <s v="CONGO"/>
    <m/>
    <m/>
    <m/>
  </r>
  <r>
    <d v="2026-03-25T00:00:00"/>
    <s v="Achat de 04 ampoule à crochet"/>
    <x v="10"/>
    <x v="2"/>
    <n v="10000"/>
    <n v="18.67727535907062"/>
    <n v="535.41"/>
    <x v="2"/>
    <s v="CA-M-R19"/>
    <s v="PALF"/>
    <s v="Aspinall"/>
    <s v="CONGO"/>
    <m/>
    <m/>
    <m/>
  </r>
  <r>
    <d v="2026-03-25T00:00:00"/>
    <s v="Taxi: Bureau- Direction MTN / transfert d'argent à IT87"/>
    <x v="0"/>
    <x v="2"/>
    <n v="1000"/>
    <n v="1.867727535907062"/>
    <n v="535.41"/>
    <x v="2"/>
    <s v="P-M-D1"/>
    <s v="PALF"/>
    <s v="Aspinall"/>
    <s v="CONGO"/>
    <m/>
    <m/>
    <m/>
  </r>
  <r>
    <d v="2026-03-25T00:00:00"/>
    <s v="Taxi: Direction MTN - Bureau"/>
    <x v="0"/>
    <x v="2"/>
    <n v="1000"/>
    <n v="1.867727535907062"/>
    <n v="535.41"/>
    <x v="2"/>
    <s v="P-M-D1"/>
    <s v="PALF"/>
    <s v="Aspinall"/>
    <s v="CONGO"/>
    <m/>
    <m/>
    <m/>
  </r>
  <r>
    <d v="2026-03-25T00:00:00"/>
    <s v="Taxi: Bureau- Marche mounglie / achat ampoule bureau PALF"/>
    <x v="0"/>
    <x v="2"/>
    <n v="1000"/>
    <n v="1.867727535907062"/>
    <n v="535.41"/>
    <x v="2"/>
    <s v="P-M-D1"/>
    <s v="PALF"/>
    <s v="Aspinall"/>
    <s v="CONGO"/>
    <m/>
    <m/>
    <m/>
  </r>
  <r>
    <d v="2026-03-25T00:00:00"/>
    <s v="Taxi: Marché moungalie  - Bureau"/>
    <x v="0"/>
    <x v="2"/>
    <n v="1000"/>
    <n v="1.867727535907062"/>
    <n v="535.41"/>
    <x v="2"/>
    <s v="P-M-D1"/>
    <s v="PALF"/>
    <s v="Aspinall"/>
    <s v="CONGO"/>
    <m/>
    <m/>
    <m/>
  </r>
  <r>
    <d v="2026-03-25T00:00:00"/>
    <s v="Achat boissons/ une cible"/>
    <x v="3"/>
    <x v="3"/>
    <n v="3500"/>
    <n v="6.5370463756747172"/>
    <n v="535.41"/>
    <x v="3"/>
    <s v="T73-M-D2"/>
    <s v="PALF"/>
    <s v="Aspinall"/>
    <s v="CONGO"/>
    <m/>
    <m/>
    <m/>
  </r>
  <r>
    <d v="2026-03-25T00:00:00"/>
    <s v="Taxi moto : village Mpene - village Béné (retour, deposer la cible)"/>
    <x v="4"/>
    <x v="3"/>
    <n v="4000"/>
    <n v="7.4709101436282479"/>
    <n v="535.41"/>
    <x v="3"/>
    <s v="T73-M-R29"/>
    <s v="PALF"/>
    <s v="Aspinall"/>
    <s v="CONGO"/>
    <m/>
    <m/>
    <m/>
  </r>
  <r>
    <d v="2026-03-25T00:00:00"/>
    <s v="Taxi moto : village Béné - Mboua (retour)"/>
    <x v="4"/>
    <x v="3"/>
    <n v="4000"/>
    <n v="7.4709101436282479"/>
    <n v="535.41"/>
    <x v="3"/>
    <s v="T73-M-R30"/>
    <s v="PALF"/>
    <s v="Aspinall"/>
    <s v="CONGO"/>
    <m/>
    <m/>
    <m/>
  </r>
  <r>
    <d v="2026-03-25T00:00:00"/>
    <s v="Taxi moto : Hôtel - Avenue principale (garage)/ Rencontre avec la cible"/>
    <x v="0"/>
    <x v="3"/>
    <n v="500"/>
    <n v="0.93386376795353099"/>
    <n v="535.41"/>
    <x v="4"/>
    <s v="IT87-M-D1"/>
    <s v="PALF"/>
    <s v="Aspinall"/>
    <s v="CONGO"/>
    <m/>
    <m/>
    <m/>
  </r>
  <r>
    <d v="2026-03-25T00:00:00"/>
    <s v="Taxi moto : Avenue principale (garage) - Hôtel/ Retour du terrain"/>
    <x v="0"/>
    <x v="3"/>
    <n v="500"/>
    <n v="0.93386376795353099"/>
    <n v="535.41"/>
    <x v="4"/>
    <s v="IT87-M-D1"/>
    <s v="PALF"/>
    <s v="Aspinall"/>
    <s v="CONGO"/>
    <m/>
    <m/>
    <m/>
  </r>
  <r>
    <d v="2026-03-25T00:00:00"/>
    <s v="Taxi Bureau- Agence océan du nord d'angola libre/ Achat billet pour sibiti"/>
    <x v="0"/>
    <x v="1"/>
    <n v="1000"/>
    <n v="1.867727535907062"/>
    <n v="535.41"/>
    <x v="7"/>
    <s v="DR-M-D1"/>
    <s v="PALF"/>
    <s v="Aspinall"/>
    <s v="CONGO"/>
    <m/>
    <m/>
    <m/>
  </r>
  <r>
    <d v="2026-03-25T00:00:00"/>
    <s v="Taxi  Agence océan du nord d'angola libre-Bureau"/>
    <x v="0"/>
    <x v="1"/>
    <n v="1000"/>
    <n v="1.867727535907062"/>
    <n v="535.41"/>
    <x v="7"/>
    <s v="DR-M-D1"/>
    <s v="PALF"/>
    <s v="Aspinall"/>
    <s v="CONGO"/>
    <m/>
    <m/>
    <m/>
  </r>
  <r>
    <d v="2026-03-26T00:00:00"/>
    <s v="Achat billet Brazzaville-Sibiti/ Donald-Roméo"/>
    <x v="4"/>
    <x v="1"/>
    <n v="9000"/>
    <n v="16.809547823163559"/>
    <n v="535.41"/>
    <x v="7"/>
    <s v="DR-M-R5"/>
    <s v="PALF"/>
    <s v="Aspinall"/>
    <s v="CONGO"/>
    <m/>
    <m/>
    <m/>
  </r>
  <r>
    <d v="2026-03-25T00:00:00"/>
    <s v="Taxi: Bureau-Agence Trans Bony de la Frontière pour la reservation du billet"/>
    <x v="0"/>
    <x v="1"/>
    <n v="1000"/>
    <n v="1.867727535907062"/>
    <n v="535.41"/>
    <x v="9"/>
    <s v="RM-M-D1"/>
    <s v="PALF"/>
    <s v="Aspinall"/>
    <s v="CONGO"/>
    <m/>
    <m/>
    <m/>
  </r>
  <r>
    <d v="2026-03-25T00:00:00"/>
    <s v="Achat  billet Brazzaville-Madingou/ Romain"/>
    <x v="4"/>
    <x v="1"/>
    <n v="7000"/>
    <n v="13.074092751349434"/>
    <n v="535.41"/>
    <x v="9"/>
    <s v="RM-M-R5"/>
    <s v="PALF"/>
    <s v="Aspinall"/>
    <s v="CONGO"/>
    <m/>
    <m/>
    <m/>
  </r>
  <r>
    <d v="2026-03-25T00:00:00"/>
    <s v="Taxi: Trans Bony de la Frontière-Bureau"/>
    <x v="0"/>
    <x v="1"/>
    <n v="1000"/>
    <n v="1.867727535907062"/>
    <n v="535.41"/>
    <x v="9"/>
    <s v="RM-M-D1"/>
    <s v="PALF"/>
    <s v="Aspinall"/>
    <s v="CONGO"/>
    <m/>
    <m/>
    <m/>
  </r>
  <r>
    <d v="2026-03-26T00:00:00"/>
    <s v="Maison-Bureau"/>
    <x v="0"/>
    <x v="0"/>
    <n v="1000"/>
    <n v="1.9254803020356539"/>
    <n v="519.35093749999999"/>
    <x v="0"/>
    <s v="DH-M-D1"/>
    <s v="PALF"/>
    <s v="Aspinall"/>
    <s v="CONGO"/>
    <m/>
    <m/>
    <m/>
  </r>
  <r>
    <d v="2026-03-26T00:00:00"/>
    <s v="Bureau - Parc Zoologique"/>
    <x v="0"/>
    <x v="0"/>
    <n v="1000"/>
    <n v="1.9254803020356539"/>
    <n v="519.35093749999999"/>
    <x v="0"/>
    <s v="DH-M-D1"/>
    <s v="PALF"/>
    <s v="Aspinall"/>
    <s v="CONGO"/>
    <m/>
    <m/>
    <m/>
  </r>
  <r>
    <d v="2026-03-26T00:00:00"/>
    <s v="Parc Zoologique - Bureau"/>
    <x v="0"/>
    <x v="0"/>
    <n v="1000"/>
    <n v="1.9254803020356539"/>
    <n v="519.35093749999999"/>
    <x v="0"/>
    <s v="DH-M-D1"/>
    <s v="PALF"/>
    <s v="Aspinall"/>
    <s v="CONGO"/>
    <m/>
    <m/>
    <m/>
  </r>
  <r>
    <d v="2026-03-26T00:00:00"/>
    <s v="Bureau-Maison"/>
    <x v="0"/>
    <x v="0"/>
    <n v="1000"/>
    <n v="1.9254803020356539"/>
    <n v="519.35093749999999"/>
    <x v="0"/>
    <s v="DH-M-D1"/>
    <s v="PALF"/>
    <s v="Aspinall"/>
    <s v="CONGO"/>
    <m/>
    <m/>
    <m/>
  </r>
  <r>
    <d v="2026-03-26T00:00:00"/>
    <s v="Frais de tansfert d'argent  à P29 et T73 par par momo"/>
    <x v="9"/>
    <x v="2"/>
    <n v="6160"/>
    <n v="11.505201621187501"/>
    <n v="535.41"/>
    <x v="2"/>
    <s v="CA-M-R20"/>
    <s v="PALF"/>
    <s v="Aspinall"/>
    <s v="CONGO"/>
    <m/>
    <m/>
    <m/>
  </r>
  <r>
    <d v="2026-03-26T00:00:00"/>
    <s v="Frais de photocopie de ordre de paiement et la decharge"/>
    <x v="10"/>
    <x v="2"/>
    <n v="3750"/>
    <n v="7.0039782596514826"/>
    <n v="535.41"/>
    <x v="2"/>
    <s v="CA-M-R21"/>
    <s v="PALF"/>
    <s v="Aspinall"/>
    <s v="CONGO"/>
    <m/>
    <m/>
    <m/>
  </r>
  <r>
    <d v="2026-03-26T00:00:00"/>
    <s v="Taxi: Bureau -Banque BCI/Rétrait espèces et depot d'ordre de virement salaire du mois de mars 2026"/>
    <x v="0"/>
    <x v="2"/>
    <n v="1000"/>
    <n v="1.867727535907062"/>
    <n v="535.41"/>
    <x v="2"/>
    <s v="P-M-D1"/>
    <s v="PALF"/>
    <s v="Aspinall"/>
    <s v="CONGO"/>
    <m/>
    <m/>
    <m/>
  </r>
  <r>
    <d v="2026-03-26T00:00:00"/>
    <s v="Taxi: Banque BCI-Bureau"/>
    <x v="0"/>
    <x v="2"/>
    <n v="1000"/>
    <n v="1.867727535907062"/>
    <n v="535.41"/>
    <x v="2"/>
    <s v="P-M-D1"/>
    <s v="PALF"/>
    <s v="Aspinall"/>
    <s v="CONGO"/>
    <m/>
    <m/>
    <m/>
  </r>
  <r>
    <d v="2026-03-26T00:00:00"/>
    <s v="Taxi: Bureau- Direction MTN / transfert d'argent à P29 et T73"/>
    <x v="0"/>
    <x v="2"/>
    <n v="1000"/>
    <n v="1.867727535907062"/>
    <n v="535.41"/>
    <x v="2"/>
    <s v="P-M-D1"/>
    <s v="PALF"/>
    <s v="Aspinall"/>
    <s v="CONGO"/>
    <m/>
    <m/>
    <m/>
  </r>
  <r>
    <d v="2026-03-26T00:00:00"/>
    <s v="Taxi: Direction MTN - Bureau"/>
    <x v="0"/>
    <x v="2"/>
    <n v="1000"/>
    <n v="1.867727535907062"/>
    <n v="535.41"/>
    <x v="2"/>
    <s v="P-M-D1"/>
    <s v="PALF"/>
    <s v="Aspinall"/>
    <s v="CONGO"/>
    <m/>
    <m/>
    <m/>
  </r>
  <r>
    <d v="2026-03-26T00:00:00"/>
    <s v="Taxi moto : Hôtel - Avenue principale (garage)/ Rencontre avec la cible"/>
    <x v="0"/>
    <x v="3"/>
    <n v="500"/>
    <n v="0.93386376795353099"/>
    <n v="535.41"/>
    <x v="4"/>
    <s v="IT87-M-D1"/>
    <s v="PALF"/>
    <s v="Aspinall"/>
    <s v="CONGO"/>
    <m/>
    <m/>
    <m/>
  </r>
  <r>
    <d v="2026-03-26T00:00:00"/>
    <s v="Taxi moto : Avenue principale - Hôtel/ Retour de la rencontre avec la cible"/>
    <x v="0"/>
    <x v="3"/>
    <n v="500"/>
    <n v="0.93386376795353099"/>
    <n v="535.41"/>
    <x v="4"/>
    <s v="IT87-M-D1"/>
    <s v="PALF"/>
    <s v="Aspinall"/>
    <s v="CONGO"/>
    <m/>
    <m/>
    <m/>
  </r>
  <r>
    <d v="2026-03-26T00:00:00"/>
    <s v="Taxi moto : Hôtel - Avenue principale (garage)/ Rencontrer la cible"/>
    <x v="0"/>
    <x v="3"/>
    <n v="500"/>
    <n v="0.93386376795353099"/>
    <n v="535.41"/>
    <x v="4"/>
    <s v="IT87-M-D1"/>
    <s v="PALF"/>
    <s v="Aspinall"/>
    <s v="CONGO"/>
    <m/>
    <m/>
    <m/>
  </r>
  <r>
    <d v="2026-03-26T00:00:00"/>
    <s v="Taxi moto : Avenue principale - Parking/ Reservation du billet"/>
    <x v="0"/>
    <x v="3"/>
    <n v="500"/>
    <n v="0.93386376795353099"/>
    <n v="535.41"/>
    <x v="4"/>
    <s v="IT87-M-D1"/>
    <s v="PALF"/>
    <s v="Aspinall"/>
    <s v="CONGO"/>
    <m/>
    <m/>
    <m/>
  </r>
  <r>
    <d v="2026-03-26T00:00:00"/>
    <s v="Taxi Domicile- Agence océan du nord d'angola libre/ pour sibiti"/>
    <x v="0"/>
    <x v="1"/>
    <n v="1000"/>
    <n v="1.867727535907062"/>
    <n v="535.41"/>
    <x v="7"/>
    <s v="DR-M-D1"/>
    <s v="PALF"/>
    <s v="Aspinall"/>
    <s v="CONGO"/>
    <m/>
    <m/>
    <m/>
  </r>
  <r>
    <d v="2026-03-26T00:00:00"/>
    <s v="Taxi moto agence océan du Nord- Hôtel le Papyrus/ Sibiti"/>
    <x v="0"/>
    <x v="1"/>
    <n v="500"/>
    <n v="0.93386376795353099"/>
    <n v="535.41"/>
    <x v="7"/>
    <s v="DR-M-D1"/>
    <s v="PALF"/>
    <s v="Aspinall"/>
    <s v="CONGO"/>
    <m/>
    <m/>
    <m/>
  </r>
  <r>
    <d v="2026-03-26T00:00:00"/>
    <s v="Donald-Roméo-CONGO Ration  du  26 au 29/03/2026 à Sibiti"/>
    <x v="5"/>
    <x v="1"/>
    <n v="30000"/>
    <n v="56.031826077211861"/>
    <n v="535.41"/>
    <x v="7"/>
    <s v="DR-M-D3"/>
    <s v="PALF"/>
    <s v="Aspinall"/>
    <s v="CONGO"/>
    <m/>
    <m/>
    <m/>
  </r>
  <r>
    <d v="2026-03-26T00:00:00"/>
    <s v="Taxi, Bureau PALF-DGEF"/>
    <x v="0"/>
    <x v="4"/>
    <n v="1000"/>
    <n v="1.867727535907062"/>
    <n v="535.41"/>
    <x v="8"/>
    <s v="EV-M-D1"/>
    <s v="PALF"/>
    <s v="Aspinall"/>
    <s v="CONGO"/>
    <m/>
    <m/>
    <m/>
  </r>
  <r>
    <d v="2026-03-26T00:00:00"/>
    <s v="Taxi: Domicle-Agence Trans Bony de la Frontère"/>
    <x v="0"/>
    <x v="1"/>
    <n v="2000"/>
    <n v="3.735455071814124"/>
    <n v="535.41"/>
    <x v="9"/>
    <s v="RM-M-D1"/>
    <s v="PALF"/>
    <s v="Aspinall"/>
    <s v="CONGO"/>
    <m/>
    <m/>
    <m/>
  </r>
  <r>
    <d v="2026-03-26T00:00:00"/>
    <s v="Taxi-moto: Agence Trans Bony de Madingou-Hotel Dzongo"/>
    <x v="0"/>
    <x v="1"/>
    <n v="500"/>
    <n v="0.93386376795353099"/>
    <n v="535.41"/>
    <x v="9"/>
    <s v="RM-M-D1"/>
    <s v="PALF"/>
    <s v="Aspinall"/>
    <s v="CONGO"/>
    <m/>
    <m/>
    <m/>
  </r>
  <r>
    <d v="2026-03-26T00:00:00"/>
    <s v="Taxi moto: Hotel DZONGO-Marché(pour acheter la ration du prevenu)"/>
    <x v="0"/>
    <x v="1"/>
    <n v="500"/>
    <n v="0.93386376795353099"/>
    <n v="535.41"/>
    <x v="9"/>
    <s v="RM-M-D1"/>
    <s v="PALF"/>
    <s v="Aspinall"/>
    <s v="CONGO"/>
    <m/>
    <m/>
    <m/>
  </r>
  <r>
    <d v="2026-03-26T00:00:00"/>
    <s v="Achat de la ration du détenu NTONDELE MOUKOKO Fulgence/ Commissariat de Police de Madingou/ Soir"/>
    <x v="15"/>
    <x v="1"/>
    <n v="1500"/>
    <n v="2.8015913038605929"/>
    <n v="535.41"/>
    <x v="9"/>
    <s v="RM-M-D3"/>
    <s v="PALF"/>
    <s v="Aspinall"/>
    <s v="CONGO"/>
    <m/>
    <m/>
    <m/>
  </r>
  <r>
    <d v="2026-03-26T00:00:00"/>
    <s v="Taxi moto: Commissariat de Police de Madingou-Hotel Dzongo"/>
    <x v="0"/>
    <x v="1"/>
    <n v="500"/>
    <n v="0.93386376795353099"/>
    <n v="535.41"/>
    <x v="9"/>
    <s v="RM-M-D1"/>
    <s v="PALF"/>
    <s v="Aspinall"/>
    <s v="CONGO"/>
    <m/>
    <m/>
    <m/>
  </r>
  <r>
    <d v="2026-03-26T00:00:00"/>
    <s v="ROMAIN-CONGO:Ration du 26 au 28/03/2026 à Madingou"/>
    <x v="5"/>
    <x v="1"/>
    <n v="20000"/>
    <n v="37.35455071814124"/>
    <n v="535.41"/>
    <x v="9"/>
    <s v="RM-M-D2"/>
    <s v="PALF"/>
    <s v="Aspinall"/>
    <s v="CONGO"/>
    <m/>
    <m/>
    <m/>
  </r>
  <r>
    <d v="2026-03-26T00:00:00"/>
    <s v="Paiement salaire du mois de mars 2026/LOUNDOU Jean Romain/3655"/>
    <x v="2"/>
    <x v="1"/>
    <n v="228800"/>
    <n v="427.33606021553578"/>
    <n v="535.41"/>
    <x v="5"/>
    <s v="BQ-M-R32"/>
    <s v="PALF"/>
    <s v="Aspinall"/>
    <s v="CONGO"/>
    <m/>
    <m/>
    <m/>
  </r>
  <r>
    <d v="2026-03-26T00:00:00"/>
    <s v="Paiement salaire du mois de mars 2026/Crepin IBOUILI-IBOUILI"/>
    <x v="2"/>
    <x v="1"/>
    <n v="581764"/>
    <n v="1086.576642199436"/>
    <n v="535.41"/>
    <x v="5"/>
    <s v="BQ-M-R33"/>
    <s v="PALF"/>
    <s v="Aspinall"/>
    <s v="CONGO"/>
    <m/>
    <m/>
    <m/>
  </r>
  <r>
    <d v="2026-03-26T00:00:00"/>
    <s v="Paiement salaire du mois de mars  2026 et congé /PINDI BINGA Donald- Roméo"/>
    <x v="2"/>
    <x v="1"/>
    <n v="563119"/>
    <n v="1051.7528622924488"/>
    <n v="535.41"/>
    <x v="5"/>
    <s v="BQ-M-R34"/>
    <s v="PALF"/>
    <s v="Aspinall"/>
    <s v="CONGO"/>
    <m/>
    <m/>
    <m/>
  </r>
  <r>
    <d v="2026-03-26T00:00:00"/>
    <s v="Paiement salaire du mois de mars 2026/Evariste LELOUSSI"/>
    <x v="2"/>
    <x v="4"/>
    <n v="268210"/>
    <n v="500.94320240563309"/>
    <n v="535.41"/>
    <x v="5"/>
    <s v="BQ-M-R35"/>
    <s v="PALF"/>
    <s v="Aspinall"/>
    <s v="CONGO"/>
    <m/>
    <m/>
    <m/>
  </r>
  <r>
    <d v="2026-03-26T00:00:00"/>
    <s v="Paiement salaire du mois de mars 2026/Homéfa DOVI/3655257"/>
    <x v="2"/>
    <x v="0"/>
    <n v="1311000"/>
    <n v="2448.5907995741582"/>
    <n v="535.41"/>
    <x v="5"/>
    <s v="BQ-M-R36"/>
    <s v="PALF"/>
    <s v="Aspinall"/>
    <s v="CONGO"/>
    <m/>
    <m/>
    <m/>
  </r>
  <r>
    <d v="2026-03-26T00:00:00"/>
    <s v="Paiement salaire du mois de mars 2026/BAVOUMINA NZOUSSI Dina Parfaite/3655256"/>
    <x v="2"/>
    <x v="2"/>
    <n v="328800"/>
    <n v="614.10881380624198"/>
    <n v="535.41"/>
    <x v="5"/>
    <s v="BQ-M-R37"/>
    <s v="PALF"/>
    <s v="Aspinall"/>
    <s v="CONGO"/>
    <m/>
    <m/>
    <m/>
  </r>
  <r>
    <d v="2026-03-26T00:00:00"/>
    <s v="Frais de virement salaire du mois de Mars 2026"/>
    <x v="12"/>
    <x v="2"/>
    <n v="10665"/>
    <n v="19.919314170448818"/>
    <n v="535.41"/>
    <x v="5"/>
    <s v="BQ-M-R38"/>
    <s v="PALF"/>
    <s v="Aspinall"/>
    <s v="CONGO"/>
    <m/>
    <m/>
    <m/>
  </r>
  <r>
    <d v="2026-03-27T00:00:00"/>
    <s v="Maison-Bureau"/>
    <x v="0"/>
    <x v="0"/>
    <n v="1000"/>
    <n v="1.9254803020356539"/>
    <n v="519.35093749999999"/>
    <x v="0"/>
    <s v="DH-M-D1"/>
    <s v="PALF"/>
    <s v="Aspinall"/>
    <s v="CONGO"/>
    <m/>
    <m/>
    <m/>
  </r>
  <r>
    <d v="2026-03-27T00:00:00"/>
    <s v="Bureau-Maison"/>
    <x v="0"/>
    <x v="0"/>
    <n v="1000"/>
    <n v="1.9254803020356539"/>
    <n v="519.35093749999999"/>
    <x v="0"/>
    <s v="DH-M-D1"/>
    <s v="PALF"/>
    <s v="Aspinall"/>
    <s v="CONGO"/>
    <m/>
    <m/>
    <m/>
  </r>
  <r>
    <d v="2026-03-27T00:00:00"/>
    <s v="Frais de tansfert d'argent  à Romain ,Donald-Roméo et  IT87 par momo"/>
    <x v="9"/>
    <x v="2"/>
    <n v="2660"/>
    <n v="4.9681552455127846"/>
    <n v="535.41"/>
    <x v="2"/>
    <s v="CA-M-R22"/>
    <s v="PALF"/>
    <s v="Aspinall"/>
    <s v="CONGO"/>
    <m/>
    <m/>
    <m/>
  </r>
  <r>
    <d v="2026-03-27T00:00:00"/>
    <s v="Achat produits alimentaires et de nettoyages  lait/Bureau PALF"/>
    <x v="10"/>
    <x v="2"/>
    <n v="10000"/>
    <n v="18.67727535907062"/>
    <n v="535.41"/>
    <x v="2"/>
    <s v="CA-M-R23"/>
    <s v="PALF"/>
    <s v="Aspinall"/>
    <s v="CONGO"/>
    <m/>
    <m/>
    <m/>
  </r>
  <r>
    <d v="2026-03-27T00:00:00"/>
    <s v="Achat produits alimentaires et de nettoyages café/Bureau PALF"/>
    <x v="10"/>
    <x v="2"/>
    <n v="4000"/>
    <n v="7.4709101436282479"/>
    <n v="535.41"/>
    <x v="2"/>
    <s v="CA-M-R23"/>
    <s v="PALF"/>
    <s v="Aspinall"/>
    <s v="CONGO"/>
    <m/>
    <m/>
    <m/>
  </r>
  <r>
    <d v="2026-03-27T00:00:00"/>
    <s v="Achat produits alimentaires et de nettoyages sucre 5 kg/Bureau PALF"/>
    <x v="10"/>
    <x v="2"/>
    <n v="3500"/>
    <n v="6.5370463756747172"/>
    <n v="535.41"/>
    <x v="2"/>
    <s v="CA-M-R23"/>
    <s v="PALF"/>
    <s v="Aspinall"/>
    <s v="CONGO"/>
    <m/>
    <m/>
    <m/>
  </r>
  <r>
    <d v="2026-03-27T00:00:00"/>
    <s v="Achat produits alimentaires et de nettoyages  lipton/Bureau PALF"/>
    <x v="10"/>
    <x v="2"/>
    <n v="3500"/>
    <n v="6.5370463756747172"/>
    <n v="535.41"/>
    <x v="2"/>
    <s v="CA-M-R23"/>
    <s v="PALF"/>
    <s v="Aspinall"/>
    <s v="CONGO"/>
    <m/>
    <m/>
    <m/>
  </r>
  <r>
    <d v="2026-03-27T00:00:00"/>
    <s v="Achat produits alimentaires et de nettoyages Nettoyant surface/Bureau PALF"/>
    <x v="10"/>
    <x v="2"/>
    <n v="5600"/>
    <n v="10.459274201079547"/>
    <n v="535.41"/>
    <x v="2"/>
    <s v="CA-M-R23"/>
    <s v="PALF"/>
    <s v="Aspinall"/>
    <s v="CONGO"/>
    <m/>
    <m/>
    <m/>
  </r>
  <r>
    <d v="2026-03-27T00:00:00"/>
    <s v="Achat produits alimentaires et de nettoyages  Javel/Bureau PALF"/>
    <x v="10"/>
    <x v="2"/>
    <n v="6000"/>
    <n v="11.206365215442371"/>
    <n v="535.41"/>
    <x v="2"/>
    <s v="CA-M-R23"/>
    <s v="PALF"/>
    <s v="Aspinall"/>
    <s v="CONGO"/>
    <m/>
    <m/>
    <m/>
  </r>
  <r>
    <d v="2026-03-27T00:00:00"/>
    <s v="Achat produits alimentaires et de nettoyages  Liquide vaiselle/Bureau PALF"/>
    <x v="10"/>
    <x v="2"/>
    <n v="1250"/>
    <n v="2.3346594198838275"/>
    <n v="535.41"/>
    <x v="2"/>
    <s v="CA-M-R23"/>
    <s v="PALF"/>
    <s v="Aspinall"/>
    <s v="CONGO"/>
    <m/>
    <m/>
    <m/>
  </r>
  <r>
    <d v="2026-03-27T00:00:00"/>
    <s v="Achat produits alimentaires et de nettoyages  savons/Bureau PALF"/>
    <x v="10"/>
    <x v="2"/>
    <n v="1200"/>
    <n v="2.2412730430884742"/>
    <n v="535.41"/>
    <x v="2"/>
    <s v="CA-M-R23"/>
    <s v="PALF"/>
    <s v="Aspinall"/>
    <s v="CONGO"/>
    <m/>
    <m/>
    <m/>
  </r>
  <r>
    <d v="2026-03-27T00:00:00"/>
    <s v="Achat produits alimentaires et de nettoyages detergent proclin/Bureau PALF"/>
    <x v="10"/>
    <x v="2"/>
    <n v="3700"/>
    <n v="6.9105918828561297"/>
    <n v="535.41"/>
    <x v="2"/>
    <s v="CA-M-R23"/>
    <s v="PALF"/>
    <s v="Aspinall"/>
    <s v="CONGO"/>
    <m/>
    <m/>
    <m/>
  </r>
  <r>
    <d v="2026-03-27T00:00:00"/>
    <s v="Achat produits alimentaires et de nettoyages Papier toilette/Bureau PALF"/>
    <x v="10"/>
    <x v="2"/>
    <n v="17550"/>
    <n v="32.778618255168936"/>
    <n v="535.41"/>
    <x v="2"/>
    <s v="CA-M-R23"/>
    <s v="PALF"/>
    <s v="Aspinall"/>
    <s v="CONGO"/>
    <m/>
    <m/>
    <m/>
  </r>
  <r>
    <d v="2026-03-27T00:00:00"/>
    <s v="Achat produits alimentaires et de nettoyages  sac poubelle /Bureau PALF"/>
    <x v="10"/>
    <x v="2"/>
    <n v="11100"/>
    <n v="20.731775648568387"/>
    <n v="535.41"/>
    <x v="2"/>
    <s v="CA-M-R23"/>
    <s v="PALF"/>
    <s v="Aspinall"/>
    <s v="CONGO"/>
    <m/>
    <m/>
    <m/>
  </r>
  <r>
    <d v="2026-03-27T00:00:00"/>
    <s v="Taxi: Bureau- Direction MTN / transfert d'argent à IT87,Donald-roméo et romain"/>
    <x v="0"/>
    <x v="2"/>
    <n v="1000"/>
    <n v="1.867727535907062"/>
    <n v="535.41"/>
    <x v="2"/>
    <s v="P-M-D1"/>
    <s v="PALF"/>
    <s v="Aspinall"/>
    <s v="CONGO"/>
    <m/>
    <m/>
    <m/>
  </r>
  <r>
    <d v="2026-03-27T00:00:00"/>
    <s v="Taxi: Direction MTN - Bureau"/>
    <x v="0"/>
    <x v="2"/>
    <n v="1000"/>
    <n v="1.867727535907062"/>
    <n v="535.41"/>
    <x v="2"/>
    <s v="P-M-D1"/>
    <s v="PALF"/>
    <s v="Aspinall"/>
    <s v="CONGO"/>
    <m/>
    <m/>
    <m/>
  </r>
  <r>
    <d v="2026-03-27T00:00:00"/>
    <s v="Taxi: Bureau- Supermarché Moungali / achat Fournitures de bureau PALF"/>
    <x v="0"/>
    <x v="2"/>
    <n v="1000"/>
    <n v="1.867727535907062"/>
    <n v="535.41"/>
    <x v="2"/>
    <s v="P-M-D1"/>
    <s v="PALF"/>
    <s v="Aspinall"/>
    <s v="CONGO"/>
    <m/>
    <m/>
    <m/>
  </r>
  <r>
    <d v="2026-03-27T00:00:00"/>
    <s v="Taxi: Supermarché Moungali  - Bureau"/>
    <x v="0"/>
    <x v="2"/>
    <n v="1000"/>
    <n v="1.867727535907062"/>
    <n v="535.41"/>
    <x v="2"/>
    <s v="P-M-D1"/>
    <s v="PALF"/>
    <s v="Aspinall"/>
    <s v="CONGO"/>
    <m/>
    <m/>
    <m/>
  </r>
  <r>
    <d v="2026-03-27T00:00:00"/>
    <s v="Taxi moto : Mboua - village Béné (vérifcation produit)"/>
    <x v="4"/>
    <x v="3"/>
    <n v="4000"/>
    <n v="7.4709101436282479"/>
    <n v="535.41"/>
    <x v="3"/>
    <s v="T73-M-R31"/>
    <s v="PALF"/>
    <s v="Aspinall"/>
    <s v="CONGO"/>
    <m/>
    <m/>
    <m/>
  </r>
  <r>
    <d v="2026-03-27T00:00:00"/>
    <s v="Taxi moto : village Béné - Mboua (vérifcation produit)"/>
    <x v="4"/>
    <x v="3"/>
    <n v="4000"/>
    <n v="7.4709101436282479"/>
    <n v="535.41"/>
    <x v="3"/>
    <s v="T73-M-R32"/>
    <s v="PALF"/>
    <s v="Aspinall"/>
    <s v="CONGO"/>
    <m/>
    <m/>
    <m/>
  </r>
  <r>
    <d v="2026-03-27T00:00:00"/>
    <s v="Taxi moto : Parking - Hôtel/ Retour du terrain"/>
    <x v="0"/>
    <x v="3"/>
    <n v="500"/>
    <n v="0.93386376795353099"/>
    <n v="535.41"/>
    <x v="4"/>
    <s v="IT87-M-D1"/>
    <s v="PALF"/>
    <s v="Aspinall"/>
    <s v="CONGO"/>
    <m/>
    <m/>
    <m/>
  </r>
  <r>
    <d v="2026-03-27T00:00:00"/>
    <s v="Taxi moto : Hôtel - Quartier Poto poto/ Prospection"/>
    <x v="0"/>
    <x v="3"/>
    <n v="500"/>
    <n v="0.93386376795353099"/>
    <n v="535.41"/>
    <x v="4"/>
    <s v="IT87-M-D1"/>
    <s v="PALF"/>
    <s v="Aspinall"/>
    <s v="CONGO"/>
    <m/>
    <m/>
    <m/>
  </r>
  <r>
    <d v="2026-03-27T00:00:00"/>
    <s v="Achat boisons avec la cible"/>
    <x v="3"/>
    <x v="3"/>
    <n v="1600"/>
    <n v="2.9883640574512991"/>
    <n v="535.41"/>
    <x v="4"/>
    <s v="IT87-M-D2"/>
    <s v="PALF"/>
    <s v="Aspinall"/>
    <s v="CONGO"/>
    <m/>
    <m/>
    <m/>
  </r>
  <r>
    <d v="2026-03-27T00:00:00"/>
    <s v="Taxi moto : Quartier Poto poto - Point de recharge batterie/ Recharger mon téléphone"/>
    <x v="0"/>
    <x v="3"/>
    <n v="500"/>
    <n v="0.93386376795353099"/>
    <n v="535.41"/>
    <x v="4"/>
    <s v="IT87-M-D1"/>
    <s v="PALF"/>
    <s v="Aspinall"/>
    <s v="CONGO"/>
    <m/>
    <m/>
    <m/>
  </r>
  <r>
    <d v="2026-03-27T00:00:00"/>
    <s v="Taxi moto : Point de charge batterie - Hôtel/ Retour du terrain"/>
    <x v="0"/>
    <x v="3"/>
    <n v="500"/>
    <n v="0.93386376795353099"/>
    <n v="535.41"/>
    <x v="4"/>
    <s v="IT87-M-D1"/>
    <s v="PALF"/>
    <s v="Aspinall"/>
    <s v="CONGO"/>
    <m/>
    <m/>
    <m/>
  </r>
  <r>
    <d v="2026-03-27T00:00:00"/>
    <s v="Taxi moto Hôtel le Papyrus-DDEF/ Rencontrer le DDPI"/>
    <x v="0"/>
    <x v="1"/>
    <n v="500"/>
    <n v="0.93386376795353099"/>
    <n v="535.41"/>
    <x v="7"/>
    <s v="DR-M-D1"/>
    <s v="PALF"/>
    <s v="Aspinall"/>
    <s v="CONGO"/>
    <m/>
    <m/>
    <m/>
  </r>
  <r>
    <d v="2026-03-27T00:00:00"/>
    <s v="Taxi moto DDEF-TGI/ Rencontrer le Procureur"/>
    <x v="0"/>
    <x v="1"/>
    <n v="500"/>
    <n v="0.93386376795353099"/>
    <n v="535.41"/>
    <x v="7"/>
    <s v="DR-M-D1"/>
    <s v="PALF"/>
    <s v="Aspinall"/>
    <s v="CONGO"/>
    <m/>
    <m/>
    <m/>
  </r>
  <r>
    <d v="2026-03-27T00:00:00"/>
    <s v="Taxi moto TGI-Region de gendarmerie / Rencontrer le COMREG"/>
    <x v="0"/>
    <x v="1"/>
    <n v="500"/>
    <n v="0.93386376795353099"/>
    <n v="535.41"/>
    <x v="7"/>
    <s v="DR-M-D1"/>
    <s v="PALF"/>
    <s v="Aspinall"/>
    <s v="CONGO"/>
    <m/>
    <m/>
    <m/>
  </r>
  <r>
    <d v="2026-03-27T00:00:00"/>
    <s v="Taxi moto Maison d'arrêt-Hôtel le Papyrus"/>
    <x v="0"/>
    <x v="1"/>
    <n v="500"/>
    <n v="0.93386376795353099"/>
    <n v="535.41"/>
    <x v="7"/>
    <s v="DR-M-D1"/>
    <s v="PALF"/>
    <s v="Aspinall"/>
    <s v="CONGO"/>
    <m/>
    <m/>
    <m/>
  </r>
  <r>
    <d v="2026-03-27T00:00:00"/>
    <s v="Ration un detenu/ MANKOUSSOU Auzere/ Maison d'arrêt de Sibiti/ Soir"/>
    <x v="15"/>
    <x v="1"/>
    <n v="1500"/>
    <n v="2.8015913038605929"/>
    <n v="535.41"/>
    <x v="7"/>
    <s v="DR-M-D2"/>
    <s v="PALF"/>
    <s v="Aspinall"/>
    <s v="CONGO"/>
    <m/>
    <m/>
    <m/>
  </r>
  <r>
    <d v="2026-03-27T00:00:00"/>
    <s v="Taxi moto: Hotel DZONGO-Marché(pour acheter la ration du prevenu)"/>
    <x v="0"/>
    <x v="1"/>
    <n v="500"/>
    <n v="0.93386376795353099"/>
    <n v="535.41"/>
    <x v="9"/>
    <s v="RM-M-D1"/>
    <s v="PALF"/>
    <s v="Aspinall"/>
    <s v="CONGO"/>
    <m/>
    <m/>
    <m/>
  </r>
  <r>
    <d v="2026-03-27T00:00:00"/>
    <s v="Achat de la ration du détenu NTONDELE MOUKOKO Fulgence/ Commissariat de Police de Madingou/ Matin"/>
    <x v="15"/>
    <x v="1"/>
    <n v="1500"/>
    <n v="2.8015913038605929"/>
    <n v="535.41"/>
    <x v="9"/>
    <s v="RM-M-D3"/>
    <s v="PALF"/>
    <s v="Aspinall"/>
    <s v="CONGO"/>
    <m/>
    <m/>
    <m/>
  </r>
  <r>
    <d v="2026-03-27T00:00:00"/>
    <s v="Taxi moto: Marché -Commisariat de Police"/>
    <x v="0"/>
    <x v="1"/>
    <n v="500"/>
    <n v="0.93386376795353099"/>
    <n v="535.41"/>
    <x v="9"/>
    <s v="RM-M-D1"/>
    <s v="PALF"/>
    <s v="Aspinall"/>
    <s v="CONGO"/>
    <m/>
    <m/>
    <m/>
  </r>
  <r>
    <d v="2026-03-27T00:00:00"/>
    <s v="Taxi moto: Commissariat de Police-DDEF"/>
    <x v="0"/>
    <x v="1"/>
    <n v="500"/>
    <n v="0.93386376795353099"/>
    <n v="535.41"/>
    <x v="9"/>
    <s v="RM-M-D1"/>
    <s v="PALF"/>
    <s v="Aspinall"/>
    <s v="CONGO"/>
    <m/>
    <m/>
    <m/>
  </r>
  <r>
    <d v="2026-03-27T00:00:00"/>
    <s v="Achat  billet  Madingou-Brazzaville/ Romain"/>
    <x v="4"/>
    <x v="1"/>
    <n v="7000"/>
    <n v="13.074092751349434"/>
    <n v="535.41"/>
    <x v="9"/>
    <s v="RM-M-R6"/>
    <s v="PALF"/>
    <s v="Aspinall"/>
    <s v="CONGO"/>
    <m/>
    <m/>
    <m/>
  </r>
  <r>
    <d v="2026-03-27T00:00:00"/>
    <s v="Taxi moto: Agence Trans bony de Madingou-Hotel DZONGO"/>
    <x v="0"/>
    <x v="1"/>
    <n v="500"/>
    <n v="0.93386376795353099"/>
    <n v="535.41"/>
    <x v="9"/>
    <s v="RM-M-D1"/>
    <s v="PALF"/>
    <s v="Aspinall"/>
    <s v="CONGO"/>
    <m/>
    <m/>
    <m/>
  </r>
  <r>
    <d v="2026-03-27T00:00:00"/>
    <s v="Taxi moto: Hotel DZONGO-Commissariat de Police"/>
    <x v="0"/>
    <x v="1"/>
    <n v="500"/>
    <n v="0.93386376795353099"/>
    <n v="535.41"/>
    <x v="9"/>
    <s v="RM-M-D1"/>
    <s v="PALF"/>
    <s v="Aspinall"/>
    <s v="CONGO"/>
    <m/>
    <m/>
    <m/>
  </r>
  <r>
    <d v="2026-03-27T00:00:00"/>
    <s v="Achat de la ration du détenu NTONDELE MOUKOKO Fulgence/ Commissariat de Police de Madingou/ Soir"/>
    <x v="15"/>
    <x v="1"/>
    <n v="1500"/>
    <n v="2.8015913038605929"/>
    <n v="535.41"/>
    <x v="9"/>
    <s v="RM-M-D3"/>
    <s v="PALF"/>
    <s v="Aspinall"/>
    <s v="CONGO"/>
    <m/>
    <m/>
    <m/>
  </r>
  <r>
    <d v="2026-03-27T00:00:00"/>
    <s v="Taxi moto: Commissariat de Police-Hotel Dzongo"/>
    <x v="0"/>
    <x v="1"/>
    <n v="500"/>
    <n v="0.93386376795353099"/>
    <n v="535.41"/>
    <x v="9"/>
    <s v="RM-M-D1"/>
    <s v="PALF"/>
    <s v="Aspinall"/>
    <s v="CONGO"/>
    <m/>
    <m/>
    <m/>
  </r>
  <r>
    <d v="2026-03-28T00:00:00"/>
    <s v="Taxi: Domicile-Agence trans bony"/>
    <x v="0"/>
    <x v="1"/>
    <n v="1000"/>
    <n v="1.867727535907062"/>
    <n v="535.41"/>
    <x v="1"/>
    <s v="CR-M-D1"/>
    <s v="PALF"/>
    <s v="Aspinall"/>
    <s v="CONGO"/>
    <m/>
    <m/>
    <m/>
  </r>
  <r>
    <d v="2026-03-28T00:00:00"/>
    <s v="Achat Billet Brazzaville-Owando/Crépin"/>
    <x v="4"/>
    <x v="1"/>
    <n v="8000"/>
    <n v="14.941820287256496"/>
    <n v="535.41"/>
    <x v="1"/>
    <s v="CR-M-R5"/>
    <s v="PALF"/>
    <s v="Aspinall"/>
    <s v="CONGO"/>
    <m/>
    <m/>
    <m/>
  </r>
  <r>
    <d v="2026-03-28T00:00:00"/>
    <s v="Taxi: Agence trans bony-Domicile"/>
    <x v="0"/>
    <x v="1"/>
    <n v="1000"/>
    <n v="1.867727535907062"/>
    <n v="535.41"/>
    <x v="1"/>
    <s v="CR-M-D1"/>
    <s v="PALF"/>
    <s v="Aspinall"/>
    <s v="CONGO"/>
    <m/>
    <m/>
    <m/>
  </r>
  <r>
    <d v="2026-03-28T00:00:00"/>
    <s v="Achat billet pokola-gouga"/>
    <x v="4"/>
    <x v="3"/>
    <n v="3500"/>
    <n v="6.5370463756747172"/>
    <n v="535.41"/>
    <x v="6"/>
    <s v="P29-M-R19"/>
    <s v="PALF"/>
    <s v="Aspinall"/>
    <s v="CONGO"/>
    <m/>
    <m/>
    <m/>
  </r>
  <r>
    <d v="2026-03-28T00:00:00"/>
    <s v="Achat billet gouga-pokola"/>
    <x v="4"/>
    <x v="3"/>
    <n v="3500"/>
    <n v="6.5370463756747172"/>
    <n v="535.41"/>
    <x v="6"/>
    <s v="P29-M-R20"/>
    <s v="PALF"/>
    <s v="Aspinall"/>
    <s v="CONGO"/>
    <m/>
    <m/>
    <m/>
  </r>
  <r>
    <d v="2026-03-28T00:00:00"/>
    <s v="Achat boisson"/>
    <x v="3"/>
    <x v="3"/>
    <n v="2000"/>
    <n v="3.735455071814124"/>
    <n v="535.41"/>
    <x v="6"/>
    <s v="P29-M-D5"/>
    <s v="PALF"/>
    <s v="Aspinall"/>
    <s v="CONGO"/>
    <m/>
    <m/>
    <m/>
  </r>
  <r>
    <d v="2026-03-28T00:00:00"/>
    <s v="Taxi moto quartier1-payo,prospection"/>
    <x v="0"/>
    <x v="3"/>
    <n v="500"/>
    <n v="0.93386376795353099"/>
    <n v="535.41"/>
    <x v="6"/>
    <s v="P29-M-D1"/>
    <s v="PALF"/>
    <s v="Aspinall"/>
    <s v="CONGO"/>
    <m/>
    <m/>
    <m/>
  </r>
  <r>
    <d v="2026-03-28T00:00:00"/>
    <s v="Taxi moto payo-lycéé,propsection"/>
    <x v="0"/>
    <x v="3"/>
    <n v="500"/>
    <n v="0.93386376795353099"/>
    <n v="535.41"/>
    <x v="6"/>
    <s v="P29-M-D1"/>
    <s v="PALF"/>
    <s v="Aspinall"/>
    <s v="CONGO"/>
    <m/>
    <m/>
    <m/>
  </r>
  <r>
    <d v="2026-03-28T00:00:00"/>
    <s v="Taxi moto lycée-parking"/>
    <x v="0"/>
    <x v="3"/>
    <n v="500"/>
    <n v="0.93386376795353099"/>
    <n v="535.41"/>
    <x v="6"/>
    <s v="P29-M-D1"/>
    <s v="PALF"/>
    <s v="Aspinall"/>
    <s v="CONGO"/>
    <m/>
    <m/>
    <m/>
  </r>
  <r>
    <d v="2026-03-28T00:00:00"/>
    <s v="Taxi moto : Mboua - village Béné (vérifcation produit)"/>
    <x v="4"/>
    <x v="3"/>
    <n v="4000"/>
    <n v="7.4709101436282479"/>
    <n v="535.41"/>
    <x v="3"/>
    <s v="T73-M-R33"/>
    <s v="PALF"/>
    <s v="Aspinall"/>
    <s v="CONGO"/>
    <m/>
    <m/>
    <m/>
  </r>
  <r>
    <d v="2026-03-28T00:00:00"/>
    <s v="Taxi moto : village Béné - Mboua (vérifcation produit)"/>
    <x v="4"/>
    <x v="3"/>
    <n v="4000"/>
    <n v="7.4709101436282479"/>
    <n v="535.41"/>
    <x v="3"/>
    <s v="T73-M-R34"/>
    <s v="PALF"/>
    <s v="Aspinall"/>
    <s v="CONGO"/>
    <m/>
    <m/>
    <m/>
  </r>
  <r>
    <d v="2026-03-28T00:00:00"/>
    <s v="IT87- CONGO Frais d'hôtel  du 23 au 28/03/2026 à Zanaga (05 nuitées)"/>
    <x v="5"/>
    <x v="3"/>
    <n v="50000"/>
    <n v="93.386376795353101"/>
    <n v="535.41"/>
    <x v="4"/>
    <s v="IT87-M-R22"/>
    <s v="PALF"/>
    <s v="Aspinall"/>
    <s v="CONGO"/>
    <m/>
    <m/>
    <m/>
  </r>
  <r>
    <d v="2026-03-28T00:00:00"/>
    <s v="Taxi moto : Hôtel - Parking/ Départ pour Sibiti"/>
    <x v="0"/>
    <x v="3"/>
    <n v="500"/>
    <n v="0.93386376795353099"/>
    <n v="535.41"/>
    <x v="4"/>
    <s v="IT87-M-D1"/>
    <s v="PALF"/>
    <s v="Aspinall"/>
    <s v="CONGO"/>
    <m/>
    <m/>
    <m/>
  </r>
  <r>
    <m/>
    <s v="Achat billet Zanaga - Sibiti/ IT87"/>
    <x v="4"/>
    <x v="3"/>
    <n v="9000"/>
    <n v="16.809547823163559"/>
    <n v="535.41"/>
    <x v="4"/>
    <s v="IT87-M-R23"/>
    <s v="PALF"/>
    <s v="Aspinall"/>
    <s v="CONGO"/>
    <m/>
    <m/>
    <m/>
  </r>
  <r>
    <d v="2026-03-28T00:00:00"/>
    <s v="Taxi moto : Parking - Agence Ocean du nord/ Achat billet"/>
    <x v="0"/>
    <x v="3"/>
    <n v="350"/>
    <n v="0.65370463756747166"/>
    <n v="535.41"/>
    <x v="4"/>
    <s v="IT87-M-D1"/>
    <s v="PALF"/>
    <s v="Aspinall"/>
    <s v="CONGO"/>
    <m/>
    <m/>
    <m/>
  </r>
  <r>
    <d v="2026-03-28T00:00:00"/>
    <s v="Taxi moto : Agence Ocean du Nord - Gare routière/ Départ pour Loudima"/>
    <x v="0"/>
    <x v="3"/>
    <n v="300"/>
    <n v="0.56031826077211855"/>
    <n v="535.41"/>
    <x v="4"/>
    <s v="IT87-M-D1"/>
    <s v="PALF"/>
    <s v="Aspinall"/>
    <s v="CONGO"/>
    <m/>
    <m/>
    <m/>
  </r>
  <r>
    <d v="2026-03-28T00:00:00"/>
    <s v="Achat billet Sibiti - Loudima/ IT87"/>
    <x v="4"/>
    <x v="3"/>
    <n v="4000"/>
    <n v="7.4709101436282479"/>
    <n v="535.41"/>
    <x v="4"/>
    <s v="IT87-M-R24"/>
    <s v="PALF"/>
    <s v="Aspinall"/>
    <s v="CONGO"/>
    <m/>
    <m/>
    <m/>
  </r>
  <r>
    <d v="2026-03-28T00:00:00"/>
    <s v="Achat billet Loudima - Brazzaville/ IT87"/>
    <x v="4"/>
    <x v="3"/>
    <n v="7000"/>
    <n v="13.074092751349434"/>
    <n v="535.41"/>
    <x v="4"/>
    <s v="IT87-M-R25"/>
    <s v="PALF"/>
    <s v="Aspinall"/>
    <s v="CONGO"/>
    <m/>
    <m/>
    <m/>
  </r>
  <r>
    <d v="2026-03-28T00:00:00"/>
    <s v="Taxi : Agence Ocean du nord Moungali - Domicile/ Arrivé à Brazzaville"/>
    <x v="0"/>
    <x v="3"/>
    <n v="2500"/>
    <n v="4.669318839767655"/>
    <n v="535.41"/>
    <x v="4"/>
    <s v="IT87-M-D1"/>
    <s v="PALF"/>
    <s v="Aspinall"/>
    <s v="CONGO"/>
    <m/>
    <m/>
    <m/>
  </r>
  <r>
    <d v="2026-03-28T00:00:00"/>
    <s v="Taxi moto Hôtel le Papyrus-Maison d'arrêt"/>
    <x v="0"/>
    <x v="1"/>
    <n v="500"/>
    <n v="0.93386376795353099"/>
    <n v="535.41"/>
    <x v="7"/>
    <s v="DR-M-D1"/>
    <s v="PALF"/>
    <s v="Aspinall"/>
    <s v="CONGO"/>
    <m/>
    <m/>
    <m/>
  </r>
  <r>
    <d v="2026-03-28T00:00:00"/>
    <s v="Taxi moto Maison d'arrêt-TGI/ Rencontrer le Président du tribunal"/>
    <x v="0"/>
    <x v="1"/>
    <n v="500"/>
    <n v="0.93386376795353099"/>
    <n v="535.41"/>
    <x v="7"/>
    <s v="DR-M-D1"/>
    <s v="PALF"/>
    <s v="Aspinall"/>
    <s v="CONGO"/>
    <m/>
    <m/>
    <m/>
  </r>
  <r>
    <d v="2026-03-28T00:00:00"/>
    <s v="Taxi moto TGI-Agence ocean du Nort/ Reservation du billet"/>
    <x v="0"/>
    <x v="1"/>
    <n v="500"/>
    <n v="0.93386376795353099"/>
    <n v="535.41"/>
    <x v="7"/>
    <s v="DR-M-D1"/>
    <s v="PALF"/>
    <s v="Aspinall"/>
    <s v="CONGO"/>
    <m/>
    <m/>
    <m/>
  </r>
  <r>
    <d v="2026-03-28T00:00:00"/>
    <s v="Achat billet Sibiti- Brazzaville/ Donald-Roméo"/>
    <x v="4"/>
    <x v="1"/>
    <n v="9000"/>
    <n v="16.809547823163559"/>
    <n v="535.41"/>
    <x v="7"/>
    <s v="DR-M-R6"/>
    <s v="PALF"/>
    <s v="Aspinall"/>
    <s v="CONGO"/>
    <m/>
    <m/>
    <m/>
  </r>
  <r>
    <d v="2026-03-28T00:00:00"/>
    <s v="Taxi moto agence océan du Nord- Hôtel le Papyrus/ Sibiti"/>
    <x v="0"/>
    <x v="1"/>
    <n v="500"/>
    <n v="0.93386376795353099"/>
    <n v="535.41"/>
    <x v="7"/>
    <s v="DR-M-D1"/>
    <s v="PALF"/>
    <s v="Aspinall"/>
    <s v="CONGO"/>
    <m/>
    <m/>
    <m/>
  </r>
  <r>
    <d v="2026-03-28T00:00:00"/>
    <s v="ROMAIN-Congo: Frais d'Hotel à Madingou du 26 au 28/03/2026 (02) nuitées"/>
    <x v="5"/>
    <x v="1"/>
    <n v="20000"/>
    <n v="37.35455071814124"/>
    <n v="535.41"/>
    <x v="9"/>
    <s v="RM-M-R7"/>
    <s v="PALF"/>
    <s v="Aspinall"/>
    <s v="CONGO"/>
    <m/>
    <m/>
    <m/>
  </r>
  <r>
    <d v="2026-03-28T00:00:00"/>
    <s v="Taxi moto: Hotel Dzongo-Agence Trans Bony de Madingou"/>
    <x v="0"/>
    <x v="1"/>
    <n v="500"/>
    <n v="0.93386376795353099"/>
    <n v="535.41"/>
    <x v="9"/>
    <s v="RM-M-D1"/>
    <s v="PALF"/>
    <s v="Aspinall"/>
    <s v="CONGO"/>
    <m/>
    <m/>
    <m/>
  </r>
  <r>
    <d v="2026-03-28T00:00:00"/>
    <s v="Taxi: Agence Trans Bony de Bifouiti-Domicile"/>
    <x v="0"/>
    <x v="1"/>
    <n v="1500"/>
    <n v="2.8015913038605929"/>
    <n v="535.41"/>
    <x v="9"/>
    <s v="RM-M-D1"/>
    <s v="PALF"/>
    <s v="Aspinall"/>
    <s v="CONGO"/>
    <m/>
    <m/>
    <m/>
  </r>
  <r>
    <d v="2026-03-29T00:00:00"/>
    <s v="Taxi: Domicile-Agence trans bony"/>
    <x v="0"/>
    <x v="1"/>
    <n v="1000"/>
    <n v="1.867727535907062"/>
    <n v="535.41"/>
    <x v="1"/>
    <s v="CR-M-D1"/>
    <s v="PALF"/>
    <s v="Aspinall"/>
    <s v="CONGO"/>
    <m/>
    <m/>
    <m/>
  </r>
  <r>
    <d v="2026-03-29T00:00:00"/>
    <s v="Taxi moto: Agence trans bony-Hôtel Case Mbali"/>
    <x v="0"/>
    <x v="1"/>
    <n v="300"/>
    <n v="0.56031826077211855"/>
    <n v="535.41"/>
    <x v="1"/>
    <s v="CR-M-D1"/>
    <s v="PALF"/>
    <s v="Aspinall"/>
    <s v="CONGO"/>
    <m/>
    <m/>
    <m/>
  </r>
  <r>
    <d v="2026-03-29T00:00:00"/>
    <s v="Crépin- CONGO Ration du 29 au 31/03/2026 à Owando"/>
    <x v="5"/>
    <x v="1"/>
    <n v="20000"/>
    <n v="37.35455071814124"/>
    <n v="535.41"/>
    <x v="1"/>
    <s v="CR-M-D2"/>
    <s v="PALF"/>
    <s v="Aspinall"/>
    <s v="CONGO"/>
    <m/>
    <m/>
    <m/>
  </r>
  <r>
    <d v="2026-03-29T00:00:00"/>
    <s v="Achat billet pokola-kabo1"/>
    <x v="4"/>
    <x v="3"/>
    <n v="3000"/>
    <n v="5.6031826077211857"/>
    <n v="535.41"/>
    <x v="6"/>
    <s v="P29-M-R21"/>
    <s v="PALF"/>
    <s v="Aspinall"/>
    <s v="CONGO"/>
    <m/>
    <m/>
    <m/>
  </r>
  <r>
    <d v="2026-03-29T00:00:00"/>
    <s v="Achat billet kabo1-pokola"/>
    <x v="4"/>
    <x v="3"/>
    <n v="3000"/>
    <n v="5.6031826077211857"/>
    <n v="535.41"/>
    <x v="6"/>
    <s v="P29-M-R22"/>
    <s v="PALF"/>
    <s v="Aspinall"/>
    <s v="CONGO"/>
    <m/>
    <m/>
    <m/>
  </r>
  <r>
    <d v="2026-03-29T00:00:00"/>
    <s v="Achat boisson"/>
    <x v="3"/>
    <x v="3"/>
    <n v="2000"/>
    <n v="3.735455071814124"/>
    <n v="535.41"/>
    <x v="6"/>
    <s v="P29-M-D5"/>
    <s v="PALF"/>
    <s v="Aspinall"/>
    <s v="CONGO"/>
    <m/>
    <m/>
    <m/>
  </r>
  <r>
    <d v="2026-03-29T00:00:00"/>
    <s v="Taxi moto obo-mougougui,prospection"/>
    <x v="0"/>
    <x v="3"/>
    <n v="500"/>
    <n v="0.93386376795353099"/>
    <n v="535.41"/>
    <x v="6"/>
    <s v="P29-M-D1"/>
    <s v="PALF"/>
    <s v="Aspinall"/>
    <s v="CONGO"/>
    <m/>
    <m/>
    <m/>
  </r>
  <r>
    <d v="2026-03-29T00:00:00"/>
    <s v="Taxi moto mougougui-piste,prospection"/>
    <x v="0"/>
    <x v="3"/>
    <n v="500"/>
    <n v="0.93386376795353099"/>
    <n v="535.41"/>
    <x v="6"/>
    <s v="P29-M-D1"/>
    <s v="PALF"/>
    <s v="Aspinall"/>
    <s v="CONGO"/>
    <m/>
    <m/>
    <m/>
  </r>
  <r>
    <d v="2026-03-29T00:00:00"/>
    <s v="Taxi  moto piste -parking"/>
    <x v="0"/>
    <x v="3"/>
    <n v="500"/>
    <n v="0.93386376795353099"/>
    <n v="535.41"/>
    <x v="6"/>
    <s v="P29-M-D1"/>
    <s v="PALF"/>
    <s v="Aspinall"/>
    <s v="CONGO"/>
    <m/>
    <m/>
    <m/>
  </r>
  <r>
    <d v="2026-03-29T00:00:00"/>
    <s v="Taxi moto : Mboua - village Béné (rendez vous avec la cible)"/>
    <x v="4"/>
    <x v="3"/>
    <n v="4000"/>
    <n v="7.4709101436282479"/>
    <n v="535.41"/>
    <x v="3"/>
    <s v="T73-M-R35"/>
    <s v="PALF"/>
    <s v="Aspinall"/>
    <s v="CONGO"/>
    <m/>
    <m/>
    <m/>
  </r>
  <r>
    <d v="2026-03-29T00:00:00"/>
    <s v="Achat boissons et nourriture/ deux cibles"/>
    <x v="3"/>
    <x v="3"/>
    <n v="3500"/>
    <n v="6.5370463756747172"/>
    <n v="535.41"/>
    <x v="3"/>
    <s v="T73-M-D2"/>
    <s v="PALF"/>
    <s v="Aspinall"/>
    <s v="CONGO"/>
    <m/>
    <m/>
    <m/>
  </r>
  <r>
    <d v="2026-03-29T00:00:00"/>
    <s v="Taxi moto : village Béné - Mboua (retour à Mboua)"/>
    <x v="4"/>
    <x v="3"/>
    <n v="4000"/>
    <n v="7.4709101436282479"/>
    <n v="535.41"/>
    <x v="3"/>
    <s v="T73-M-R36"/>
    <s v="PALF"/>
    <s v="Aspinall"/>
    <s v="CONGO"/>
    <m/>
    <m/>
    <m/>
  </r>
  <r>
    <d v="2026-03-29T00:00:00"/>
    <s v="Donald-Roméo-CONGO Frais d'hôtel   du  26 au 29/03/2026 à Sibiti (3 nuitées)"/>
    <x v="5"/>
    <x v="1"/>
    <n v="30000"/>
    <n v="56.031826077211861"/>
    <n v="535.41"/>
    <x v="7"/>
    <s v="DR-M-R7"/>
    <s v="PALF"/>
    <s v="Aspinall"/>
    <s v="CONGO"/>
    <m/>
    <m/>
    <m/>
  </r>
  <r>
    <d v="2026-03-29T00:00:00"/>
    <s v="Taxi Hôtel le Papyrus-Agence ocean du Nort/ Reservation du billet"/>
    <x v="0"/>
    <x v="1"/>
    <n v="500"/>
    <n v="0.93386376795353099"/>
    <n v="535.41"/>
    <x v="7"/>
    <s v="DR-M-D1"/>
    <s v="PALF"/>
    <s v="Aspinall"/>
    <s v="CONGO"/>
    <m/>
    <m/>
    <m/>
  </r>
  <r>
    <d v="2026-03-29T00:00:00"/>
    <s v="Taxi  Agence océan du nord de Moungali-Domicile"/>
    <x v="0"/>
    <x v="1"/>
    <n v="1500"/>
    <n v="2.8015913038605929"/>
    <n v="535.41"/>
    <x v="7"/>
    <s v="DR-M-D1"/>
    <s v="PALF"/>
    <s v="Aspinall"/>
    <s v="CONGO"/>
    <m/>
    <m/>
    <m/>
  </r>
  <r>
    <d v="2026-03-30T00:00:00"/>
    <s v="Maison-Bureau"/>
    <x v="0"/>
    <x v="0"/>
    <n v="1000"/>
    <n v="1.9254803020356539"/>
    <n v="519.35093749999999"/>
    <x v="0"/>
    <s v="DH-M-D1"/>
    <s v="PALF"/>
    <s v="Aspinall"/>
    <s v="CONGO"/>
    <m/>
    <m/>
    <m/>
  </r>
  <r>
    <d v="2026-03-30T00:00:00"/>
    <s v="Bureau-Maison"/>
    <x v="0"/>
    <x v="0"/>
    <n v="1000"/>
    <n v="1.8771635173931283"/>
    <n v="532.71864210781655"/>
    <x v="0"/>
    <s v="DH-M-D1"/>
    <s v="PALF"/>
    <s v="Aspinall"/>
    <s v="CONGO"/>
    <m/>
    <m/>
    <m/>
  </r>
  <r>
    <d v="2026-03-30T00:00:00"/>
    <s v="Taxi moto: Hôtel-DDEF"/>
    <x v="0"/>
    <x v="1"/>
    <n v="500"/>
    <n v="0.93386376795353099"/>
    <n v="535.41"/>
    <x v="1"/>
    <s v="CR-M-D1"/>
    <s v="PALF"/>
    <s v="Aspinall"/>
    <s v="CONGO"/>
    <m/>
    <m/>
    <m/>
  </r>
  <r>
    <d v="2026-03-30T00:00:00"/>
    <s v="Taxi moto: DDEF-Trans bony pour réservation de Ouesso"/>
    <x v="0"/>
    <x v="1"/>
    <n v="500"/>
    <n v="0.93386376795353099"/>
    <n v="535.41"/>
    <x v="1"/>
    <s v="CR-M-D1"/>
    <s v="PALF"/>
    <s v="Aspinall"/>
    <s v="CONGO"/>
    <m/>
    <m/>
    <m/>
  </r>
  <r>
    <d v="2026-03-30T00:00:00"/>
    <s v="Achat Billet Owando-Ouesso/ Crépin"/>
    <x v="4"/>
    <x v="1"/>
    <n v="5000"/>
    <n v="9.3386376795353101"/>
    <n v="535.41"/>
    <x v="1"/>
    <s v="CR-M-R6"/>
    <s v="PALF"/>
    <s v="Aspinall"/>
    <s v="CONGO"/>
    <m/>
    <m/>
    <m/>
  </r>
  <r>
    <d v="2026-03-30T00:00:00"/>
    <s v="Taxi moto: Trans bony-Genadrmerie"/>
    <x v="0"/>
    <x v="1"/>
    <n v="300"/>
    <n v="0.56031826077211855"/>
    <n v="535.41"/>
    <x v="1"/>
    <s v="CR-M-D1"/>
    <s v="PALF"/>
    <s v="Aspinall"/>
    <s v="CONGO"/>
    <m/>
    <m/>
    <m/>
  </r>
  <r>
    <d v="2026-03-30T00:00:00"/>
    <s v="Taxi moto: Gendarmerie-TGI"/>
    <x v="0"/>
    <x v="1"/>
    <n v="300"/>
    <n v="0.56031826077211855"/>
    <n v="535.41"/>
    <x v="1"/>
    <s v="CR-M-D1"/>
    <s v="PALF"/>
    <s v="Aspinall"/>
    <s v="CONGO"/>
    <m/>
    <m/>
    <m/>
  </r>
  <r>
    <d v="2026-03-30T00:00:00"/>
    <s v="Taxi moto: TGI-Hôtel"/>
    <x v="0"/>
    <x v="1"/>
    <n v="500"/>
    <n v="0.93386376795353099"/>
    <n v="535.41"/>
    <x v="1"/>
    <s v="CR-M-D1"/>
    <s v="PALF"/>
    <s v="Aspinall"/>
    <s v="CONGO"/>
    <m/>
    <m/>
    <m/>
  </r>
  <r>
    <d v="2026-03-30T00:00:00"/>
    <s v="Ration de ELOMBO Levy et NGASSAKI Davy à la maison d'arrêt  d'Owando/ Soir"/>
    <x v="15"/>
    <x v="1"/>
    <n v="3000"/>
    <n v="5.6031826077211857"/>
    <n v="535.41"/>
    <x v="1"/>
    <s v="CR-M-D3"/>
    <s v="PALF"/>
    <s v="Aspinall"/>
    <s v="CONGO"/>
    <m/>
    <m/>
    <m/>
  </r>
  <r>
    <d v="2026-03-30T00:00:00"/>
    <s v="Taxi moto: Petit marché-Maison d'arrêt"/>
    <x v="0"/>
    <x v="1"/>
    <n v="500"/>
    <n v="0.93386376795353099"/>
    <n v="535.41"/>
    <x v="1"/>
    <s v="CR-M-D1"/>
    <s v="PALF"/>
    <s v="Aspinall"/>
    <s v="CONGO"/>
    <m/>
    <m/>
    <m/>
  </r>
  <r>
    <d v="2026-03-30T00:00:00"/>
    <s v="Taxi moto: Maison d'arrêt-Hôtel"/>
    <x v="0"/>
    <x v="1"/>
    <n v="500"/>
    <n v="0.93386376795353099"/>
    <n v="535.41"/>
    <x v="1"/>
    <s v="CR-M-D1"/>
    <s v="PALF"/>
    <s v="Aspinall"/>
    <s v="CONGO"/>
    <m/>
    <m/>
    <m/>
  </r>
  <r>
    <d v="2026-03-30T00:00:00"/>
    <s v="Frais de ramassage Ordure Mars 2026"/>
    <x v="7"/>
    <x v="2"/>
    <n v="6000"/>
    <n v="11.206365215442371"/>
    <n v="535.41"/>
    <x v="2"/>
    <s v="CA-M-R24"/>
    <s v="PALF"/>
    <s v="Aspinall"/>
    <s v="CONGO"/>
    <m/>
    <m/>
    <m/>
  </r>
  <r>
    <d v="2026-03-30T00:00:00"/>
    <s v="Reglement prestation de nettoyage  PALF du mois de Mars 2026"/>
    <x v="8"/>
    <x v="2"/>
    <n v="80000"/>
    <n v="149.41820287256496"/>
    <n v="535.41"/>
    <x v="2"/>
    <s v="CA-M-R25"/>
    <s v="PALF"/>
    <s v="Aspinall"/>
    <s v="CONGO"/>
    <m/>
    <m/>
    <m/>
  </r>
  <r>
    <d v="2026-03-30T00:00:00"/>
    <s v=" Frais de prestation de nettoyage jardin PALF Mars 2026"/>
    <x v="8"/>
    <x v="2"/>
    <n v="40000"/>
    <n v="74.709101436282481"/>
    <n v="535.41"/>
    <x v="2"/>
    <s v="CA-M-R26"/>
    <s v="PALF"/>
    <s v="Aspinall"/>
    <s v="CONGO"/>
    <m/>
    <m/>
    <m/>
  </r>
  <r>
    <d v="2026-03-30T00:00:00"/>
    <s v="Frais de tansfert d'argent  à P29 et T73 par par momo"/>
    <x v="9"/>
    <x v="2"/>
    <n v="5250"/>
    <n v="9.8055695635120763"/>
    <n v="535.41"/>
    <x v="2"/>
    <s v="CA-M-R27"/>
    <s v="PALF"/>
    <s v="Aspinall"/>
    <s v="CONGO"/>
    <m/>
    <m/>
    <m/>
  </r>
  <r>
    <d v="2026-03-30T00:00:00"/>
    <s v="Taxi: Bureau- Direction MTN / transfert d'argent à P29 et T73"/>
    <x v="0"/>
    <x v="2"/>
    <n v="1000"/>
    <n v="1.867727535907062"/>
    <n v="535.41"/>
    <x v="2"/>
    <s v="P-M-D1"/>
    <s v="PALF"/>
    <s v="Aspinall"/>
    <s v="CONGO"/>
    <m/>
    <m/>
    <m/>
  </r>
  <r>
    <d v="2026-03-30T00:00:00"/>
    <s v="Taxi: Direction MTN - Bureau"/>
    <x v="0"/>
    <x v="2"/>
    <n v="1000"/>
    <n v="1.867727535907062"/>
    <n v="535.41"/>
    <x v="2"/>
    <s v="P-M-D1"/>
    <s v="PALF"/>
    <s v="Aspinall"/>
    <s v="CONGO"/>
    <m/>
    <m/>
    <m/>
  </r>
  <r>
    <d v="2026-03-30T00:00:00"/>
    <s v="Taxi: Bureau- L'Immeuble   / Formation à l'UE "/>
    <x v="0"/>
    <x v="2"/>
    <n v="1000"/>
    <n v="1.867727535907062"/>
    <n v="535.41"/>
    <x v="2"/>
    <s v="P-M-D1"/>
    <s v="PALF"/>
    <s v="Aspinall"/>
    <s v="CONGO"/>
    <m/>
    <m/>
    <m/>
  </r>
  <r>
    <d v="2026-03-30T00:00:00"/>
    <s v="Taxi: L'Immeuble - Bureau"/>
    <x v="0"/>
    <x v="2"/>
    <n v="1000"/>
    <n v="1.867727535907062"/>
    <n v="535.41"/>
    <x v="2"/>
    <s v="P-M-D1"/>
    <s v="PALF"/>
    <s v="Aspinall"/>
    <s v="CONGO"/>
    <m/>
    <m/>
    <m/>
  </r>
  <r>
    <d v="2026-03-30T00:00:00"/>
    <s v="T73 - CONGO Frais d'hotel du 22 au 30/03/2026 à Mboua (08 Nuitées)"/>
    <x v="5"/>
    <x v="3"/>
    <n v="80000"/>
    <n v="149.41820287256496"/>
    <n v="535.41"/>
    <x v="3"/>
    <s v="T73-M-R37"/>
    <s v="PALF"/>
    <s v="Aspinall"/>
    <s v="CONGO"/>
    <m/>
    <m/>
    <m/>
  </r>
  <r>
    <d v="2026-03-30T00:00:00"/>
    <s v="location moto : Mboua - pokola(départ pour Mboua en prenant une autre moto au village ndoki)"/>
    <x v="4"/>
    <x v="3"/>
    <n v="20000"/>
    <n v="37.35455071814124"/>
    <n v="535.41"/>
    <x v="3"/>
    <s v="T73-M-R38"/>
    <s v="PALF"/>
    <s v="Aspinall"/>
    <s v="CONGO"/>
    <m/>
    <m/>
    <m/>
  </r>
  <r>
    <d v="2026-03-30T00:00:00"/>
    <s v="Taxi Bureau- Agence Trans Bony de la Frontière/ Resevation billets pour Ouesso"/>
    <x v="0"/>
    <x v="1"/>
    <n v="1000"/>
    <n v="1.867727535907062"/>
    <n v="535.41"/>
    <x v="7"/>
    <s v="DR-M-D1"/>
    <s v="PALF"/>
    <s v="Aspinall"/>
    <s v="CONGO"/>
    <m/>
    <m/>
    <m/>
  </r>
  <r>
    <d v="2026-03-30T00:00:00"/>
    <s v="Taxi  Agence Trans Bony de la Frontière-Bureau"/>
    <x v="0"/>
    <x v="1"/>
    <n v="1000"/>
    <n v="1.867727535907062"/>
    <n v="535.41"/>
    <x v="7"/>
    <s v="DR-M-D1"/>
    <s v="PALF"/>
    <s v="Aspinall"/>
    <s v="CONGO"/>
    <m/>
    <m/>
    <m/>
  </r>
  <r>
    <d v="2026-03-30T00:00:00"/>
    <s v="Achat billet Brazzaville-Ouesso/ Donald-Roméo"/>
    <x v="4"/>
    <x v="1"/>
    <n v="12000"/>
    <n v="22.412730430884743"/>
    <n v="535.41"/>
    <x v="7"/>
    <s v="DR-M-R8"/>
    <s v="PALF"/>
    <s v="Aspinall"/>
    <s v="CONGO"/>
    <m/>
    <m/>
    <m/>
  </r>
  <r>
    <d v="2026-03-30T00:00:00"/>
    <s v="Achat billet, Brazzaville-Ouesso/ Evariste"/>
    <x v="4"/>
    <x v="4"/>
    <n v="12000"/>
    <n v="22.412730430884743"/>
    <n v="535.41"/>
    <x v="8"/>
    <s v="EV-M-R5"/>
    <s v="PALF"/>
    <s v="Aspinall"/>
    <s v="CONGO"/>
    <m/>
    <m/>
    <m/>
  </r>
  <r>
    <d v="2026-03-30T00:00:00"/>
    <s v="Achat  billet Brazzaville-Ouesso/ Romain"/>
    <x v="4"/>
    <x v="1"/>
    <n v="12000"/>
    <n v="22.412730430884743"/>
    <n v="535.41"/>
    <x v="9"/>
    <s v="RM-M-R8"/>
    <s v="PALF"/>
    <s v="Aspinall"/>
    <s v="CONGO"/>
    <m/>
    <m/>
    <m/>
  </r>
  <r>
    <d v="2026-03-30T00:00:00"/>
    <s v="Reglement honoraire du mois de Mars 2026/IT87/3655259"/>
    <x v="2"/>
    <x v="3"/>
    <n v="225000"/>
    <n v="420.23869557908893"/>
    <n v="535.41"/>
    <x v="5"/>
    <s v="BQ-M-R39"/>
    <s v="PALF"/>
    <s v="Aspinall"/>
    <s v="CONGO"/>
    <m/>
    <m/>
    <m/>
  </r>
  <r>
    <d v="2026-03-31T00:00:00"/>
    <s v="Maison-Bureau"/>
    <x v="0"/>
    <x v="0"/>
    <n v="1000"/>
    <n v="1.9254803020356539"/>
    <n v="519.35093749999999"/>
    <x v="0"/>
    <s v="DH-M-D1"/>
    <s v="PALF"/>
    <s v="Aspinall"/>
    <s v="CONGO"/>
    <m/>
    <m/>
    <m/>
  </r>
  <r>
    <d v="2026-03-31T00:00:00"/>
    <s v="Bureau-AOGC (Formation DUE)"/>
    <x v="0"/>
    <x v="0"/>
    <n v="1000"/>
    <n v="1.9254803020356539"/>
    <n v="519.35093749999999"/>
    <x v="0"/>
    <s v="DH-M-D1"/>
    <s v="PALF"/>
    <s v="Aspinall"/>
    <s v="CONGO"/>
    <m/>
    <m/>
    <m/>
  </r>
  <r>
    <d v="2026-03-31T00:00:00"/>
    <s v="AOGC -Bureau"/>
    <x v="0"/>
    <x v="0"/>
    <n v="1000"/>
    <n v="1.9054742621280678"/>
    <n v="524.80372990353703"/>
    <x v="0"/>
    <s v="DH-M-D1"/>
    <s v="PALF"/>
    <s v="Aspinall"/>
    <s v="CONGO"/>
    <m/>
    <m/>
    <m/>
  </r>
  <r>
    <d v="2026-03-31T00:00:00"/>
    <s v="Bureau-Maison"/>
    <x v="0"/>
    <x v="0"/>
    <n v="1000"/>
    <n v="1.9254803020356539"/>
    <n v="519.35093749999999"/>
    <x v="0"/>
    <s v="DH-M-D1"/>
    <s v="PALF"/>
    <s v="Aspinall"/>
    <s v="CONGO"/>
    <m/>
    <m/>
    <m/>
  </r>
  <r>
    <d v="2026-03-31T00:00:00"/>
    <s v="Ration de ELOMBO Levy et NGASSAKI Davy à la maison d'arrêt  d'Owando/matin"/>
    <x v="15"/>
    <x v="1"/>
    <n v="3000"/>
    <n v="5.6031826077211857"/>
    <n v="535.41"/>
    <x v="1"/>
    <s v="CR-M-D3"/>
    <s v="PALF"/>
    <s v="Aspinall"/>
    <s v="CONGO"/>
    <m/>
    <m/>
    <m/>
  </r>
  <r>
    <d v="2026-03-31T00:00:00"/>
    <s v="Taxi moto: Boutique-Maison d'arrêt"/>
    <x v="0"/>
    <x v="1"/>
    <n v="500"/>
    <n v="0.93386376795353099"/>
    <n v="535.41"/>
    <x v="1"/>
    <s v="CR-M-D1"/>
    <s v="PALF"/>
    <s v="Aspinall"/>
    <s v="CONGO"/>
    <m/>
    <m/>
    <m/>
  </r>
  <r>
    <d v="2026-03-31T00:00:00"/>
    <s v="Taxi moto: Maison d'arrêt-Gendarmerie"/>
    <x v="0"/>
    <x v="1"/>
    <n v="300"/>
    <n v="0.56031826077211855"/>
    <n v="535.41"/>
    <x v="1"/>
    <s v="CR-M-D1"/>
    <s v="PALF"/>
    <s v="Aspinall"/>
    <s v="CONGO"/>
    <m/>
    <m/>
    <m/>
  </r>
  <r>
    <d v="2026-03-31T00:00:00"/>
    <s v="Taxi moto: Gendarmerie-Hôtel"/>
    <x v="0"/>
    <x v="1"/>
    <n v="500"/>
    <n v="0.93386376795353099"/>
    <n v="535.41"/>
    <x v="1"/>
    <s v="CR-M-D1"/>
    <s v="PALF"/>
    <s v="Aspinall"/>
    <s v="CONGO"/>
    <m/>
    <m/>
    <m/>
  </r>
  <r>
    <d v="2026-03-31T00:00:00"/>
    <s v="Crépin-CONGO Frais d'hotel du   29 au 31/03/2026 à Owando ( 02 Nuitéés)"/>
    <x v="5"/>
    <x v="1"/>
    <n v="20000"/>
    <n v="37.35455071814124"/>
    <n v="535.41"/>
    <x v="1"/>
    <s v="CR-M-R7"/>
    <s v="PALF"/>
    <s v="Aspinall"/>
    <s v="CONGO"/>
    <m/>
    <m/>
    <m/>
  </r>
  <r>
    <d v="2026-03-31T00:00:00"/>
    <s v="Taxi moto: Hôtel-Agence Trans Bony à destination de Ouesso"/>
    <x v="0"/>
    <x v="1"/>
    <n v="300"/>
    <n v="0.56031826077211855"/>
    <n v="535.41"/>
    <x v="1"/>
    <s v="CR-M-D1"/>
    <s v="PALF"/>
    <s v="Aspinall"/>
    <s v="CONGO"/>
    <m/>
    <m/>
    <m/>
  </r>
  <r>
    <d v="2026-03-31T00:00:00"/>
    <s v="Taxi: Agence Trans bony Ouesso-Hôtel Royal"/>
    <x v="0"/>
    <x v="1"/>
    <n v="500"/>
    <n v="0.93386376795353099"/>
    <n v="535.41"/>
    <x v="1"/>
    <s v="CR-M-D1"/>
    <s v="PALF"/>
    <s v="Aspinall"/>
    <s v="CONGO"/>
    <m/>
    <m/>
    <m/>
  </r>
  <r>
    <d v="2026-03-31T00:00:00"/>
    <s v="Taxi: Bureau-Lieu de Formation UE"/>
    <x v="0"/>
    <x v="2"/>
    <n v="1000"/>
    <n v="1.867727535907062"/>
    <n v="535.41"/>
    <x v="2"/>
    <s v="P-M-D1"/>
    <s v="PALF"/>
    <s v="Aspinall"/>
    <s v="CONGO"/>
    <m/>
    <m/>
    <m/>
  </r>
  <r>
    <d v="2026-03-31T00:00:00"/>
    <s v="Taxi: Bureau- Cabinet d'avocat Maitre Locko/récuperation des rapport mensuel"/>
    <x v="0"/>
    <x v="2"/>
    <n v="1000"/>
    <n v="1.867727535907062"/>
    <n v="535.41"/>
    <x v="2"/>
    <s v="P-M-D1"/>
    <s v="PALF"/>
    <s v="Aspinall"/>
    <s v="CONGO"/>
    <m/>
    <m/>
    <m/>
  </r>
  <r>
    <d v="2026-03-31T00:00:00"/>
    <s v="Taxi:  Cabinet d'avocat Maitre Locko- Bureau"/>
    <x v="0"/>
    <x v="2"/>
    <n v="1000"/>
    <n v="1.867727535907062"/>
    <n v="535.41"/>
    <x v="2"/>
    <s v="P-M-D1"/>
    <s v="PALF"/>
    <s v="Aspinall"/>
    <s v="CONGO"/>
    <m/>
    <m/>
    <m/>
  </r>
  <r>
    <d v="2026-03-31T00:00:00"/>
    <s v="Taxi moto hotel -parking,départ pour ouesso"/>
    <x v="0"/>
    <x v="3"/>
    <n v="500"/>
    <n v="0.93386376795353099"/>
    <n v="535.41"/>
    <x v="6"/>
    <s v="P29-M-D1"/>
    <s v="PALF"/>
    <s v="Aspinall"/>
    <s v="CONGO"/>
    <m/>
    <m/>
    <m/>
  </r>
  <r>
    <d v="2026-03-31T00:00:00"/>
    <s v="Taxi port-hotel,arrivé à ouesso"/>
    <x v="0"/>
    <x v="3"/>
    <n v="500"/>
    <n v="0.93386376795353099"/>
    <n v="535.41"/>
    <x v="6"/>
    <s v="P29-M-D1"/>
    <s v="PALF"/>
    <s v="Aspinall"/>
    <s v="CONGO"/>
    <m/>
    <m/>
    <m/>
  </r>
  <r>
    <d v="2026-03-31T00:00:00"/>
    <s v="P29 -CONGO Frais d'hotel du 20 au 31/03/2026 à pokola(11 Nuitées)"/>
    <x v="5"/>
    <x v="3"/>
    <n v="110000"/>
    <n v="205.45002894977682"/>
    <n v="535.41"/>
    <x v="6"/>
    <s v="P29-M-R23"/>
    <s v="PALF"/>
    <s v="Aspinall"/>
    <s v="CONGO"/>
    <m/>
    <m/>
    <m/>
  </r>
  <r>
    <d v="2026-03-31T00:00:00"/>
    <s v="Achat billet pokola-ouesso"/>
    <x v="4"/>
    <x v="3"/>
    <n v="2000"/>
    <n v="3.735455071814124"/>
    <n v="535.41"/>
    <x v="6"/>
    <s v="P29-M-R24"/>
    <s v="PALF"/>
    <s v="Aspinall"/>
    <s v="CONGO"/>
    <m/>
    <m/>
    <m/>
  </r>
  <r>
    <d v="2026-03-31T00:00:00"/>
    <s v="Pirroque rive pokola-rive ouesso"/>
    <x v="0"/>
    <x v="3"/>
    <n v="1000"/>
    <n v="1.867727535907062"/>
    <n v="535.41"/>
    <x v="6"/>
    <s v="P29-M-D1"/>
    <s v="PALF"/>
    <s v="Aspinall"/>
    <s v="CONGO"/>
    <m/>
    <m/>
    <m/>
  </r>
  <r>
    <d v="2026-03-31T00:00:00"/>
    <s v="T73 - CONGO Frais d'hotel du 30 au 31/03/2026 à Pokola (01 Nuitée)"/>
    <x v="5"/>
    <x v="3"/>
    <n v="10000"/>
    <n v="18.67727535907062"/>
    <n v="535.41"/>
    <x v="3"/>
    <s v="T73-M-R39"/>
    <s v="PALF"/>
    <s v="Aspinall"/>
    <s v="CONGO"/>
    <m/>
    <m/>
    <m/>
  </r>
  <r>
    <d v="2026-03-31T00:00:00"/>
    <s v="Taxi moto : hotel Marie bouanga - gare routière"/>
    <x v="0"/>
    <x v="3"/>
    <n v="500"/>
    <n v="0.93386376795353099"/>
    <n v="535.41"/>
    <x v="3"/>
    <s v="T73-M-D1"/>
    <s v="PALF"/>
    <s v="Aspinall"/>
    <s v="CONGO"/>
    <m/>
    <m/>
    <m/>
  </r>
  <r>
    <d v="2026-03-31T00:00:00"/>
    <s v="Achat billet: Pokola - Ouesso/T73"/>
    <x v="4"/>
    <x v="3"/>
    <n v="2000"/>
    <n v="3.735455071814124"/>
    <n v="535.41"/>
    <x v="3"/>
    <s v="T73-M-R40"/>
    <s v="PALF"/>
    <s v="Aspinall"/>
    <s v="CONGO"/>
    <m/>
    <m/>
    <m/>
  </r>
  <r>
    <d v="2026-03-31T00:00:00"/>
    <s v="Traverser rivière sangha"/>
    <x v="0"/>
    <x v="3"/>
    <n v="1000"/>
    <n v="1.867727535907062"/>
    <n v="535.41"/>
    <x v="3"/>
    <s v="T73-M-D1"/>
    <s v="PALF"/>
    <s v="Aspinall"/>
    <s v="CONGO"/>
    <m/>
    <m/>
    <m/>
  </r>
  <r>
    <d v="2026-03-31T00:00:00"/>
    <s v="Taxi : port - hotel divine (arrivé à pokola)"/>
    <x v="0"/>
    <x v="3"/>
    <n v="500"/>
    <n v="0.93386376795353099"/>
    <n v="535.41"/>
    <x v="3"/>
    <s v="T73-M-D1"/>
    <s v="PALF"/>
    <s v="Aspinall"/>
    <s v="CONGO"/>
    <m/>
    <m/>
    <m/>
  </r>
  <r>
    <d v="2026-03-31T00:00:00"/>
    <s v="Taxi Domicile- Agence Trans Bony de la Frontière/ pour Ouesso"/>
    <x v="0"/>
    <x v="1"/>
    <n v="1000"/>
    <n v="1.867727535907062"/>
    <n v="535.41"/>
    <x v="7"/>
    <s v="DR-M-D1"/>
    <s v="PALF"/>
    <s v="Aspinall"/>
    <s v="CONGO"/>
    <m/>
    <m/>
    <m/>
  </r>
  <r>
    <d v="2026-03-31T00:00:00"/>
    <s v="Taxi  Agence Trans Bony de Ouesso-Hôtel Royal"/>
    <x v="0"/>
    <x v="1"/>
    <n v="500"/>
    <n v="0.93386376795353099"/>
    <n v="535.41"/>
    <x v="7"/>
    <s v="DR-M-D1"/>
    <s v="PALF"/>
    <s v="Aspinall"/>
    <s v="CONGO"/>
    <m/>
    <m/>
    <m/>
  </r>
  <r>
    <d v="2026-03-31T00:00:00"/>
    <s v="Donald-Roméo-CONGO Ration  du  31 mars au 05/04/2026 à Ouesso"/>
    <x v="5"/>
    <x v="1"/>
    <n v="50000"/>
    <n v="93.386376795353101"/>
    <n v="535.41"/>
    <x v="7"/>
    <s v="DR-M-D4"/>
    <s v="PALF"/>
    <s v="Aspinall"/>
    <s v="CONGO"/>
    <m/>
    <m/>
    <m/>
  </r>
  <r>
    <d v="2026-03-31T00:00:00"/>
    <s v="Taxi, Domicile-Agence Trans Bony de Brazzaville"/>
    <x v="0"/>
    <x v="4"/>
    <n v="1000"/>
    <n v="1.867727535907062"/>
    <n v="535.41"/>
    <x v="8"/>
    <s v="EV-M-D1"/>
    <s v="PALF"/>
    <s v="Aspinall"/>
    <s v="CONGO"/>
    <m/>
    <m/>
    <m/>
  </r>
  <r>
    <d v="2026-03-31T00:00:00"/>
    <s v="Taxi, Agence Trans Bony de Ouesso-Royal Hôtel"/>
    <x v="0"/>
    <x v="4"/>
    <n v="500"/>
    <n v="0.93386376795353099"/>
    <n v="535.41"/>
    <x v="8"/>
    <s v="EV-M-D1"/>
    <s v="PALF"/>
    <s v="Aspinall"/>
    <s v="CONGO"/>
    <m/>
    <m/>
    <m/>
  </r>
  <r>
    <d v="2026-03-31T00:00:00"/>
    <s v="Evariste CONGO- Ration du 31 mars au 05 avril 2026 à Ouesso et Pokol ( 5 nuitées )"/>
    <x v="5"/>
    <x v="4"/>
    <n v="50000"/>
    <n v="93.386376795353101"/>
    <n v="535.41"/>
    <x v="8"/>
    <s v="EV-M-D2"/>
    <s v="PALF"/>
    <s v="Aspinall"/>
    <s v="CONGO"/>
    <m/>
    <m/>
    <m/>
  </r>
  <r>
    <d v="2026-03-31T00:00:00"/>
    <s v="Taxi; Domicile-Agence Trans Bony de la Frontière"/>
    <x v="0"/>
    <x v="1"/>
    <n v="2000"/>
    <n v="3.735455071814124"/>
    <n v="535.41"/>
    <x v="9"/>
    <s v="RM-M-D1"/>
    <s v="PALF"/>
    <s v="Aspinall"/>
    <s v="CONGO"/>
    <m/>
    <m/>
    <m/>
  </r>
  <r>
    <d v="2026-03-31T00:00:00"/>
    <s v="Taxi: Agence Trans Bony  de Ouesso-Hotel Royal "/>
    <x v="0"/>
    <x v="1"/>
    <n v="500"/>
    <n v="0.93386376795353099"/>
    <n v="535.41"/>
    <x v="9"/>
    <s v="RM-M-D1"/>
    <s v="PALF"/>
    <s v="Aspinall"/>
    <s v="CONGO"/>
    <m/>
    <m/>
    <m/>
  </r>
  <r>
    <d v="2026-03-31T00:00:00"/>
    <s v="ROMAIN -CONGO: Ration du 31/05/2026 au 05/04/2026 à Ouesso"/>
    <x v="5"/>
    <x v="1"/>
    <n v="50000"/>
    <n v="93.386376795353101"/>
    <n v="535.41"/>
    <x v="9"/>
    <s v="RM-M-D4"/>
    <s v="PALF"/>
    <s v="Aspinall"/>
    <s v="CONGO"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8">
  <r>
    <x v="0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0"/>
    <s v="Bureau- Aspinall"/>
    <s v="Transport"/>
    <s v="Management"/>
    <n v="1000"/>
    <n v="1.9254803020356539"/>
    <n v="519.35093749999999"/>
    <s v="DOVI"/>
    <s v="DH-J-D1"/>
    <s v="PALF"/>
    <x v="0"/>
    <s v="CONGO"/>
    <m/>
    <m/>
    <m/>
  </r>
  <r>
    <x v="0"/>
    <s v="Aspinall 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0"/>
    <s v="Taxi: Bureau -Banque BCI/ Demande d'information sur les fonds reçu "/>
    <s v="Transport"/>
    <s v="Office"/>
    <n v="1000"/>
    <n v="1.9254803020356539"/>
    <n v="519.35093749999999"/>
    <s v="Parfaite"/>
    <s v="P-J-D1"/>
    <s v="PALF"/>
    <x v="0"/>
    <s v="CONGO"/>
    <m/>
    <m/>
    <m/>
  </r>
  <r>
    <x v="0"/>
    <s v="Taxi: Banque BCI-Bureau"/>
    <s v="Transport"/>
    <s v="Office"/>
    <n v="1000"/>
    <n v="1.9254803020356539"/>
    <n v="519.35093749999999"/>
    <s v="Parfaite"/>
    <s v="P-J-D1"/>
    <s v="PALF"/>
    <x v="0"/>
    <s v="CONGO"/>
    <m/>
    <m/>
    <m/>
  </r>
  <r>
    <x v="0"/>
    <s v="Taxi: Bureau -Banque BCI/ Retrait Réleve du mois de Décembre 2025"/>
    <s v="Transport"/>
    <s v="Office"/>
    <n v="1000"/>
    <n v="1.9254803020356539"/>
    <n v="519.35093749999999"/>
    <s v="Parfaite"/>
    <s v="P-J-D1"/>
    <s v="PALF"/>
    <x v="0"/>
    <s v="CONGO"/>
    <m/>
    <m/>
    <m/>
  </r>
  <r>
    <x v="0"/>
    <s v=" Frais de prestation de nettoyage jardin PALF décembre 2025"/>
    <s v="Services"/>
    <s v="Office"/>
    <n v="40000"/>
    <n v="77.019212081426161"/>
    <n v="519.35093749999999"/>
    <s v="Parfaite"/>
    <s v="CA-J-R1"/>
    <s v="PALF"/>
    <x v="0"/>
    <s v="CONGO"/>
    <m/>
    <m/>
    <m/>
  </r>
  <r>
    <x v="0"/>
    <s v="Reglement prestation de nettoyage  PALF du mois de décembre 2025"/>
    <s v="Services"/>
    <s v="Office"/>
    <n v="80000"/>
    <n v="154.03842416285232"/>
    <n v="519.35093749999999"/>
    <s v="Parfaite"/>
    <s v="CA-J-R2"/>
    <s v="PALF"/>
    <x v="0"/>
    <s v="CONGO"/>
    <m/>
    <m/>
    <m/>
  </r>
  <r>
    <x v="0"/>
    <s v="Taxi: Banque BCI-Bureau"/>
    <s v="Transport"/>
    <s v="Office"/>
    <n v="1000"/>
    <n v="1.9254803020356539"/>
    <n v="519.35093749999999"/>
    <s v="Parfaite"/>
    <s v="P-J-D1"/>
    <s v="PALF"/>
    <x v="0"/>
    <s v="CONGO"/>
    <m/>
    <m/>
    <m/>
  </r>
  <r>
    <x v="0"/>
    <s v="Paiement salaire du mois de Novembre 2025/Homéfa DOVI/3655371"/>
    <s v="Personnel"/>
    <s v="Management"/>
    <n v="1311000"/>
    <n v="2460.9613713023914"/>
    <n v="532.71864210781655"/>
    <s v="BCI"/>
    <s v="BQ-J-R1"/>
    <s v="PALF"/>
    <x v="1"/>
    <s v="CONGO"/>
    <m/>
    <m/>
    <m/>
  </r>
  <r>
    <x v="0"/>
    <s v="Paiement salaire du mois de Novembre 2025/BAVOUMINA NZOUSSI Dina Parfaite/3655372"/>
    <s v="Personnel"/>
    <s v="Office"/>
    <n v="258800"/>
    <n v="498.31430216682725"/>
    <n v="519.35093749999999"/>
    <s v="BCI"/>
    <s v="BQ-J-R2"/>
    <s v="PALF"/>
    <x v="0"/>
    <s v="CONGO"/>
    <m/>
    <m/>
    <m/>
  </r>
  <r>
    <x v="1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"/>
    <s v="Taxi: Bureau -TGI Brazzaviille/ Faire signer les documents à maître Hélène"/>
    <s v="Transport"/>
    <s v="Office"/>
    <n v="1000"/>
    <n v="1.9254803020356539"/>
    <n v="519.35093749999999"/>
    <s v="Parfaite"/>
    <s v="P-J-D1"/>
    <s v="PALF"/>
    <x v="0"/>
    <s v="CONGO"/>
    <m/>
    <m/>
    <m/>
  </r>
  <r>
    <x v="1"/>
    <s v="Taxi:TGI Brazzaviille- Bureau"/>
    <s v="Transport"/>
    <s v="Office"/>
    <n v="1000"/>
    <n v="1.9254803020356539"/>
    <n v="519.35093749999999"/>
    <s v="Parfaite"/>
    <s v="P-J-D1"/>
    <s v="PALF"/>
    <x v="0"/>
    <s v="CONGO"/>
    <m/>
    <m/>
    <m/>
  </r>
  <r>
    <x v="1"/>
    <s v="Taxi: Bureau- Mairi de moungalie/ Faire signer les pièces comptables à P29"/>
    <s v="Transport"/>
    <s v="Office"/>
    <n v="1000"/>
    <n v="1.9254803020356539"/>
    <n v="519.35093749999999"/>
    <s v="Parfaite"/>
    <s v="P-J-D1"/>
    <s v="PALF"/>
    <x v="0"/>
    <s v="CONGO"/>
    <m/>
    <m/>
    <m/>
  </r>
  <r>
    <x v="1"/>
    <s v="Taxi: Mairie Moungalie- Marché Total/ Faire signer les pièces comptables à G12"/>
    <s v="Transport"/>
    <s v="Office"/>
    <n v="1000"/>
    <n v="1.9254803020356539"/>
    <n v="519.35093749999999"/>
    <s v="Parfaite"/>
    <s v="P-J-D1"/>
    <s v="PALF"/>
    <x v="0"/>
    <s v="CONGO"/>
    <m/>
    <m/>
    <m/>
  </r>
  <r>
    <x v="1"/>
    <s v="Taxi: Mairie  Marché Total- Domicile"/>
    <s v="Transport"/>
    <s v="Office"/>
    <n v="1000"/>
    <n v="1.9254803020356539"/>
    <n v="519.35093749999999"/>
    <s v="Parfaite"/>
    <s v="P-J-D1"/>
    <s v="PALF"/>
    <x v="0"/>
    <s v="CONGO"/>
    <m/>
    <m/>
    <m/>
  </r>
  <r>
    <x v="2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2"/>
    <s v="Bureau- DUE"/>
    <s v="Transport"/>
    <s v="Management"/>
    <n v="1000"/>
    <n v="1.9254803020356539"/>
    <n v="519.35093749999999"/>
    <s v="DOVI"/>
    <s v="DH-J-D1"/>
    <s v="PALF"/>
    <x v="0"/>
    <s v="CONGO"/>
    <m/>
    <m/>
    <m/>
  </r>
  <r>
    <x v="2"/>
    <s v="DUE - 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2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3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3"/>
    <s v="Credit telephonique MTN/PALF/ du 09 Janvier 2026/ DOVI"/>
    <s v="Telephone"/>
    <s v="Management"/>
    <n v="10000"/>
    <n v="19.25480302035654"/>
    <n v="519.35093749999999"/>
    <s v="DOVI"/>
    <s v="DH-J-R1"/>
    <s v="PALF"/>
    <x v="0"/>
    <s v="CONGO"/>
    <m/>
    <m/>
    <m/>
  </r>
  <r>
    <x v="3"/>
    <s v="Taxi:Bureau-Direction MB2 Services/Achat crédit Coordinateur PALF"/>
    <s v="Transport"/>
    <s v="Office"/>
    <n v="1000"/>
    <n v="1.9254803020356539"/>
    <n v="519.35093749999999"/>
    <s v="Parfaite"/>
    <s v="P-J-D1"/>
    <s v="PALF"/>
    <x v="0"/>
    <s v="CONGO"/>
    <m/>
    <m/>
    <m/>
  </r>
  <r>
    <x v="3"/>
    <s v="Taxi:   Direction MB2 Services- Bureau"/>
    <s v="Transport"/>
    <s v="Office"/>
    <n v="1000"/>
    <n v="1.9254803020356539"/>
    <n v="519.35093749999999"/>
    <s v="Parfaite"/>
    <s v="P-J-D1"/>
    <s v="PALF"/>
    <x v="0"/>
    <s v="CONGO"/>
    <m/>
    <m/>
    <m/>
  </r>
  <r>
    <x v="4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4"/>
    <s v="Bureau 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5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5"/>
    <s v="Bureau 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5"/>
    <s v="Réglement facture électricité periode Novembre et Décembre  2025/bureau PALF"/>
    <s v="Rent &amp; Utilities"/>
    <s v="Office"/>
    <n v="60967"/>
    <n v="117.39075757420771"/>
    <n v="519.35093749999999"/>
    <s v="Parfaite"/>
    <s v="CA-J-R3"/>
    <s v="PALF"/>
    <x v="0"/>
    <s v="CONGO"/>
    <m/>
    <m/>
    <m/>
  </r>
  <r>
    <x v="5"/>
    <s v="Règlement facture d'eau du mois de Novembre et Décembre  2025 bureau PALF"/>
    <s v="Rent &amp; Utilities"/>
    <s v="Office"/>
    <n v="12750"/>
    <n v="24.549873850954587"/>
    <n v="519.35093749999999"/>
    <s v="Parfaite"/>
    <s v="CA-J-R4"/>
    <s v="PALF"/>
    <x v="0"/>
    <s v="CONGO"/>
    <m/>
    <m/>
    <m/>
  </r>
  <r>
    <x v="5"/>
    <s v="Taxi: Bureau -Banque BCI/ Retrait espece "/>
    <s v="Transport"/>
    <s v="Office"/>
    <n v="1000"/>
    <n v="1.9254803020356539"/>
    <n v="519.35093749999999"/>
    <s v="Parfaite"/>
    <s v="P-J-D1"/>
    <s v="PALF"/>
    <x v="0"/>
    <s v="CONGO"/>
    <m/>
    <m/>
    <m/>
  </r>
  <r>
    <x v="5"/>
    <s v="Taxi: Banque BCI-Direction Energie electrique du congo/ Reglement facture d'electricité"/>
    <s v="Transport"/>
    <s v="Office"/>
    <n v="1000"/>
    <n v="1.9254803020356539"/>
    <n v="519.35093749999999"/>
    <s v="Parfaite"/>
    <s v="P-J-D1"/>
    <s v="PALF"/>
    <x v="0"/>
    <s v="CONGO"/>
    <m/>
    <m/>
    <m/>
  </r>
  <r>
    <x v="5"/>
    <s v="Taxi: Direction Energie electrique du congo- Direction LCDE/ Reglement facture d'eau"/>
    <s v="Transport"/>
    <s v="Office"/>
    <n v="1000"/>
    <n v="1.9254803020356539"/>
    <n v="519.35093749999999"/>
    <s v="Parfaite"/>
    <s v="P-J-D1"/>
    <s v="PALF"/>
    <x v="0"/>
    <s v="CONGO"/>
    <m/>
    <m/>
    <m/>
  </r>
  <r>
    <x v="5"/>
    <s v="Taxi: Direction LCDE- Bureau/ Reglement facture d'eau"/>
    <s v="Transport"/>
    <s v="Office"/>
    <n v="1000"/>
    <n v="1.9254803020356539"/>
    <n v="519.35093749999999"/>
    <s v="Parfaite"/>
    <s v="P-J-D1"/>
    <s v="PALF"/>
    <x v="0"/>
    <s v="CONGO"/>
    <m/>
    <m/>
    <m/>
  </r>
  <r>
    <x v="6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6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6"/>
    <s v="Taxi: Bureau -CNSS/ Depot du corrier à la cnss"/>
    <s v="Transport"/>
    <s v="Office"/>
    <n v="1000"/>
    <n v="1.9254803020356539"/>
    <n v="519.35093749999999"/>
    <s v="Parfaite"/>
    <s v="P-J-D1"/>
    <s v="PALF"/>
    <x v="0"/>
    <s v="CONGO"/>
    <m/>
    <m/>
    <m/>
  </r>
  <r>
    <x v="6"/>
    <s v="Taxi: CNSS -Direction Energie Electrique du Congo/Retrait du reçu de paiement du mois de nov dec 2025"/>
    <s v="Transport"/>
    <s v="Office"/>
    <n v="1000"/>
    <n v="1.9254803020356539"/>
    <n v="519.35093749999999"/>
    <s v="Parfaite"/>
    <s v="P-J-D1"/>
    <s v="PALF"/>
    <x v="0"/>
    <s v="CONGO"/>
    <m/>
    <m/>
    <m/>
  </r>
  <r>
    <x v="6"/>
    <s v="Taxi: Direction Energie Electrique du Congo-Domicile"/>
    <s v="Transport"/>
    <s v="Office"/>
    <n v="1000"/>
    <n v="1.9254803020356539"/>
    <n v="519.35093749999999"/>
    <s v="Parfaite"/>
    <s v="P-J-D1"/>
    <s v="PALF"/>
    <x v="0"/>
    <s v="CONGO"/>
    <m/>
    <m/>
    <m/>
  </r>
  <r>
    <x v="7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7"/>
    <s v="Bureau-Aspinall"/>
    <s v="Transport"/>
    <s v="Management"/>
    <n v="1000"/>
    <n v="1.9254803020356539"/>
    <n v="519.35093749999999"/>
    <s v="DOVI"/>
    <s v="DH-J-D1"/>
    <s v="PALF"/>
    <x v="0"/>
    <s v="CONGO"/>
    <m/>
    <m/>
    <m/>
  </r>
  <r>
    <x v="7"/>
    <s v="Aspinall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8"/>
    <s v="Maison- 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8"/>
    <s v="Bureau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9"/>
    <s v="Maison- Chez Paul (rendez -vous douane)"/>
    <s v="Transport"/>
    <s v="Management"/>
    <n v="1000"/>
    <n v="1.9254803020356539"/>
    <n v="519.35093749999999"/>
    <s v="DOVI"/>
    <s v="DH-J-D1"/>
    <s v="PALF"/>
    <x v="0"/>
    <s v="CONGO"/>
    <m/>
    <m/>
    <m/>
  </r>
  <r>
    <x v="9"/>
    <s v="Chez Paul 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9"/>
    <s v="Achat de 04 ampoule à crochet bureau PALF"/>
    <s v="Office Materiels"/>
    <s v="Office"/>
    <n v="10000"/>
    <n v="19.25480302035654"/>
    <n v="519.35093749999999"/>
    <s v="Parfaite"/>
    <s v="CA-J-R5"/>
    <s v="PALF"/>
    <x v="0"/>
    <s v="CONGO"/>
    <m/>
    <m/>
    <m/>
  </r>
  <r>
    <x v="10"/>
    <s v="Maison-Bureau (Rendez vous avec DGACFAP)"/>
    <s v="Transport"/>
    <s v="Management"/>
    <n v="1000"/>
    <n v="1.9254803020356539"/>
    <n v="519.35093749999999"/>
    <s v="DOVI"/>
    <s v="DH-J-D1"/>
    <s v="PALF"/>
    <x v="0"/>
    <s v="CONGO"/>
    <m/>
    <m/>
    <m/>
  </r>
  <r>
    <x v="10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0"/>
    <s v="Credit telephonique MTN PALF/du 22 Janvier 2026/Legal/ crepin"/>
    <s v="Telephone"/>
    <s v="Legal"/>
    <n v="5000"/>
    <n v="9.6274015101782702"/>
    <n v="519.35093749999999"/>
    <s v="Crépin"/>
    <s v="CR-D-R1"/>
    <s v="PALF"/>
    <x v="0"/>
    <s v="CONGO"/>
    <m/>
    <m/>
    <m/>
  </r>
  <r>
    <x v="10"/>
    <s v="Taxi:Bureau-Direction MB2 Services/Achat crédit Crepin"/>
    <s v="Transport"/>
    <s v="Office"/>
    <n v="1000"/>
    <n v="1.9254803020356539"/>
    <n v="519.35093749999999"/>
    <s v="Parfaite"/>
    <s v="P-J-D1"/>
    <s v="PALF"/>
    <x v="0"/>
    <s v="CONGO"/>
    <m/>
    <m/>
    <m/>
  </r>
  <r>
    <x v="10"/>
    <s v="Taxi:   Direction MB2 Services- Bureau"/>
    <s v="Transport"/>
    <s v="Office"/>
    <n v="1000"/>
    <n v="1.9254803020356539"/>
    <n v="519.35093749999999"/>
    <s v="Parfaite"/>
    <s v="P-J-D1"/>
    <s v="PALF"/>
    <x v="0"/>
    <s v="CONGO"/>
    <m/>
    <m/>
    <m/>
  </r>
  <r>
    <x v="11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1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2"/>
    <s v="Maison- Chez Paul (rendez -vous)"/>
    <s v="Transport"/>
    <s v="Management"/>
    <n v="1000"/>
    <n v="1.9254803020356539"/>
    <n v="519.35093749999999"/>
    <s v="DOVI"/>
    <s v="DH-J-D1"/>
    <s v="PALF"/>
    <x v="0"/>
    <s v="CONGO"/>
    <m/>
    <m/>
    <m/>
  </r>
  <r>
    <x v="12"/>
    <s v="Chez Paul 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3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3"/>
    <s v="Bureau - Ambassade de France"/>
    <s v="Transport"/>
    <s v="Management"/>
    <n v="1000"/>
    <n v="1.9254803020356539"/>
    <n v="519.35093749999999"/>
    <s v="DOVI"/>
    <s v="DH-J-D1"/>
    <s v="PALF"/>
    <x v="0"/>
    <s v="CONGO"/>
    <m/>
    <m/>
    <m/>
  </r>
  <r>
    <x v="13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4"/>
    <s v="Maison-Bureau cheffe douane Aéroport"/>
    <s v="Transport"/>
    <s v="Management"/>
    <n v="1000"/>
    <n v="1.9254803020356539"/>
    <n v="519.35093749999999"/>
    <s v="DOVI"/>
    <s v="DH-J-D1"/>
    <s v="PALF"/>
    <x v="0"/>
    <s v="CONGO"/>
    <m/>
    <m/>
    <m/>
  </r>
  <r>
    <x v="14"/>
    <s v="Aéroport - 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4"/>
    <s v="Bureau 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5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5"/>
    <s v="Bureau- DGEF"/>
    <s v="Transport"/>
    <s v="Management"/>
    <n v="1000"/>
    <n v="1.9254803020356539"/>
    <n v="519.35093749999999"/>
    <s v="DOVI"/>
    <s v="DH-J-D1"/>
    <s v="PALF"/>
    <x v="0"/>
    <s v="CONGO"/>
    <m/>
    <m/>
    <m/>
  </r>
  <r>
    <x v="15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6"/>
    <s v="Maison 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6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7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7"/>
    <s v="Bureau - Aspinall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7"/>
    <s v="Aspinall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7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8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8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9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9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0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0"/>
    <s v="Bureau- Interpol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0"/>
    <s v="Interpol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0"/>
    <s v="Taxi: Bureau -Banque BCI/ Retrait Réleve du mois de Janvier 2026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0"/>
    <s v="Taxi: Banque BCI-Bureau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1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1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1"/>
    <s v="Credit telephonique MTN/PALF/ du 09 Février 2026/ DOVI"/>
    <s v="Telephone"/>
    <s v="Management"/>
    <n v="10000"/>
    <n v="19.25480302035654"/>
    <n v="519.35093749999999"/>
    <s v="DOVI"/>
    <s v="DH-F-R1"/>
    <s v="PALF"/>
    <x v="0"/>
    <s v="CONGO"/>
    <m/>
    <m/>
    <m/>
  </r>
  <r>
    <x v="22"/>
    <s v="Maison-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2"/>
    <s v="Bureau-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3"/>
    <s v="Maison-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3"/>
    <s v="Bureau- 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4"/>
    <s v="Maison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4"/>
    <s v="Bureau - Aspinall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4"/>
    <s v="Aspinall 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4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5"/>
    <s v="Maison 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5"/>
    <s v="Bureau- 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5"/>
    <s v="Taxi: Bureau -Banque BCI/ Demande d'information sur les fonds reçu 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5"/>
    <s v="Taxi: Banque BCI-Bureau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5"/>
    <s v="RAPATRIEME01100 RAO00011023/30 Millions d'Amis"/>
    <s v="Grant"/>
    <m/>
    <m/>
    <n v="0"/>
    <n v="524.80372990353703"/>
    <s v="BCI"/>
    <s v="BQ-F-G1"/>
    <s v="PALF"/>
    <x v="2"/>
    <s v="CONGO"/>
    <n v="6610726"/>
    <n v="12550"/>
    <m/>
  </r>
  <r>
    <x v="26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6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6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6"/>
    <s v="Règlement loyer Janvier 2026/ Coordinateur"/>
    <s v="Personnel"/>
    <s v="Management"/>
    <n v="250000"/>
    <n v="469.29087934828209"/>
    <n v="532.71864210781655"/>
    <s v="DOVI"/>
    <s v="DH-F-R2"/>
    <s v="PALF"/>
    <x v="1"/>
    <s v="CONGO"/>
    <m/>
    <m/>
    <m/>
  </r>
  <r>
    <x v="26"/>
    <s v="Taxi: Bureau -Banque BCI/ Retrait cheque pour le paiement de la cnss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6"/>
    <s v="Taxi: Banque BCI-Bureau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6"/>
    <s v="Taxi:  Bureau - CNSS/Paiement CNSS quatrième  trimestre de l'année 2025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6"/>
    <s v="Taxi: CNSS-BCI /depot de l'ordre de virement salaire du mois de decembre 2025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6"/>
    <s v="Taxi: BCI- Bureau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6"/>
    <s v="Reglement facture internet periode du 16/02 au 16/03/2026 bureau PALF"/>
    <s v="Internet"/>
    <s v="Office"/>
    <n v="45050"/>
    <n v="84.566216458560433"/>
    <n v="532.71864210781655"/>
    <s v="Parfaite"/>
    <s v="CA-F-R1"/>
    <s v="PALF"/>
    <x v="1"/>
    <s v="CONGO"/>
    <m/>
    <m/>
    <m/>
  </r>
  <r>
    <x v="26"/>
    <s v="Paiement salaire du mois de décembre 2025/LOUNDOU Jean Romain/3655376"/>
    <s v="Personnel"/>
    <s v="Legal"/>
    <n v="200000"/>
    <n v="373.54564671771044"/>
    <n v="535.40980000000002"/>
    <s v="BCI"/>
    <s v="BQ-F-R1"/>
    <s v="PALF"/>
    <x v="3"/>
    <s v="CONGO"/>
    <m/>
    <m/>
    <m/>
  </r>
  <r>
    <x v="26"/>
    <s v="Paiement salaire du mois de décembre et congé 2025/FOUMBA Roderlin/3655375"/>
    <s v="Personnel"/>
    <s v="Legal"/>
    <n v="365200"/>
    <n v="682.09435090653926"/>
    <n v="535.40980000000002"/>
    <s v="BCI"/>
    <s v="BQ-F-R2"/>
    <s v="PALF"/>
    <x v="3"/>
    <s v="CONGO"/>
    <m/>
    <m/>
    <m/>
  </r>
  <r>
    <x v="26"/>
    <s v="Paiement salaire du mois de Décembre et congés  2025/BOUNGOU MAKOSSO Abraham/3655374"/>
    <s v="Personnel"/>
    <s v="Legal"/>
    <n v="365200"/>
    <n v="685.54011655197041"/>
    <n v="532.71864210781655"/>
    <s v="BCI"/>
    <s v="BQ-F-R3"/>
    <s v="PALF"/>
    <x v="1"/>
    <s v="CONGO"/>
    <m/>
    <m/>
    <m/>
  </r>
  <r>
    <x v="26"/>
    <s v="Reglement honoraire du mois de décembre 2025/T73/3655379"/>
    <s v="Personnel"/>
    <s v="Investigation"/>
    <n v="225000"/>
    <n v="422.36179141345389"/>
    <n v="532.71864210781655"/>
    <s v="BCI"/>
    <s v="BQ-F-R4"/>
    <s v="PALF"/>
    <x v="1"/>
    <s v="CONGO"/>
    <m/>
    <m/>
    <m/>
  </r>
  <r>
    <x v="26"/>
    <s v="Reglement honoraire du mois de décembre 2025/IT87/3655381"/>
    <s v="Personnel"/>
    <s v="Investigation"/>
    <n v="225000"/>
    <n v="422.36179141345389"/>
    <n v="532.71864210781655"/>
    <s v="BCI"/>
    <s v="BQ-F-R5"/>
    <s v="PALF"/>
    <x v="1"/>
    <s v="CONGO"/>
    <m/>
    <m/>
    <m/>
  </r>
  <r>
    <x v="26"/>
    <s v="Reglement honoraire du mois de décembre  2025/G12/3655378"/>
    <s v="Personnel"/>
    <s v="Investigation"/>
    <n v="225000"/>
    <n v="422.36179141345389"/>
    <n v="532.71864210781655"/>
    <s v="BCI"/>
    <s v="BQ-F-R6"/>
    <s v="PALF"/>
    <x v="1"/>
    <s v="CONGO"/>
    <m/>
    <m/>
    <m/>
  </r>
  <r>
    <x v="26"/>
    <s v="Reglement honoraire du mois de decembre 2025/P29/3655377"/>
    <s v="Personnel"/>
    <s v="Investigation"/>
    <n v="370000"/>
    <n v="691.05944642776433"/>
    <n v="535.40980000000002"/>
    <s v="BCI"/>
    <s v="BQ-F-R7"/>
    <s v="PALF"/>
    <x v="3"/>
    <s v="CONGO"/>
    <m/>
    <m/>
    <m/>
  </r>
  <r>
    <x v="26"/>
    <s v="Paiement salaire du mois de décembre 2025/Crepin IBOUILI-IBOUILI"/>
    <s v="Personnel"/>
    <s v="Legal"/>
    <n v="552964"/>
    <n v="1032.7864749580601"/>
    <n v="535.40980000000002"/>
    <s v="BCI"/>
    <s v="BQ-F-R8"/>
    <s v="PALF"/>
    <x v="3"/>
    <s v="CONGO"/>
    <m/>
    <m/>
    <m/>
  </r>
  <r>
    <x v="26"/>
    <s v="Paiement salaire du mois de décembre 2025/PINDI BINGA Donald- Roméo"/>
    <s v="Personnel"/>
    <s v="Legal"/>
    <n v="300000"/>
    <n v="560.31847007656563"/>
    <n v="535.40980000000002"/>
    <s v="BCI"/>
    <s v="BQ-F-R9"/>
    <s v="PALF"/>
    <x v="3"/>
    <s v="CONGO"/>
    <m/>
    <m/>
    <m/>
  </r>
  <r>
    <x v="26"/>
    <s v="Paiement salaire du mois de décembre 2025/Evariste LELOUSSI"/>
    <s v="Personnel"/>
    <s v="Media"/>
    <n v="239410"/>
    <n v="447.15281640343528"/>
    <n v="535.40980000000002"/>
    <s v="BCI"/>
    <s v="BQ-F-R10"/>
    <s v="PALF"/>
    <x v="3"/>
    <s v="CONGO"/>
    <m/>
    <m/>
    <m/>
  </r>
  <r>
    <x v="26"/>
    <s v="Avance sur  salaire du mois de décembre 2025/Homéfa DOVI/3655237"/>
    <s v="Personnel"/>
    <s v="Management"/>
    <n v="611000"/>
    <n v="1141.1819507226053"/>
    <n v="535.40980000000002"/>
    <s v="BCI"/>
    <s v="BQ-F-R11"/>
    <s v="PALF"/>
    <x v="3"/>
    <s v="CONGO"/>
    <m/>
    <m/>
    <m/>
  </r>
  <r>
    <x v="26"/>
    <s v="Paiement salaire du mois de décembre 2025/BAVOUMINA NZOUSSI Dina Parfaite/3655382"/>
    <s v="Personnel"/>
    <s v="Office"/>
    <n v="230000"/>
    <n v="429.57749372536699"/>
    <n v="535.40980000000002"/>
    <s v="BCI"/>
    <s v="BQ-F-R12"/>
    <s v="PALF"/>
    <x v="3"/>
    <s v="CONGO"/>
    <m/>
    <m/>
    <m/>
  </r>
  <r>
    <x v="26"/>
    <s v="Paiement CNSS quatrième trimestre/Octobre, Novembre et Décembre 2025/Crepin /3655380"/>
    <s v="Personnel"/>
    <s v="Legal"/>
    <n v="384019"/>
    <n v="717.24312853444223"/>
    <n v="535.40980000000002"/>
    <s v="BCI"/>
    <s v="BQ-F-R13"/>
    <s v="PALF"/>
    <x v="3"/>
    <s v="CONGO"/>
    <m/>
    <m/>
    <m/>
  </r>
  <r>
    <x v="26"/>
    <s v="Paiement CNSS quatrième trimestre/Octobre, Novembre et Décembre 2025/Donald-Roméo/3655380"/>
    <s v="Personnel"/>
    <s v="Legal"/>
    <n v="192360"/>
    <n v="359.27620301309389"/>
    <n v="535.40980000000002"/>
    <s v="BCI"/>
    <s v="BQ-F-R14"/>
    <s v="PALF"/>
    <x v="3"/>
    <s v="CONGO"/>
    <m/>
    <m/>
    <m/>
  </r>
  <r>
    <x v="26"/>
    <s v="Paiement CNSS quatrième trimestre/Octobre, Novembre et Décembre 2025/Romain/3655380"/>
    <s v="Personnel"/>
    <s v="Legal"/>
    <n v="118067"/>
    <n v="221.63106500805449"/>
    <n v="532.71864210781655"/>
    <s v="BCI"/>
    <s v="BQ-F-R15"/>
    <s v="PALF"/>
    <x v="1"/>
    <s v="CONGO"/>
    <m/>
    <m/>
    <m/>
  </r>
  <r>
    <x v="26"/>
    <s v="Paiement CNSS quatrième trimestre/Octobre, Novembre et Décembre 2025/Roderlin/3655380"/>
    <s v="Personnel"/>
    <s v="Legal"/>
    <n v="159830"/>
    <n v="298.51900357445828"/>
    <n v="535.40980000000002"/>
    <s v="BCI"/>
    <s v="BQ-F-R16"/>
    <s v="PALF"/>
    <x v="3"/>
    <s v="CONGO"/>
    <m/>
    <m/>
    <m/>
  </r>
  <r>
    <x v="26"/>
    <s v="Paiement CNSS quatrième trimestre/Octobre, Novembre et Décembre 2025/Abraham/3655380"/>
    <s v="Personnel"/>
    <s v="Legal"/>
    <n v="159830"/>
    <n v="300.0270449849437"/>
    <n v="532.71864210781655"/>
    <s v="BCI"/>
    <s v="BQ-F-R17"/>
    <s v="PALF"/>
    <x v="1"/>
    <s v="CONGO"/>
    <m/>
    <m/>
    <m/>
  </r>
  <r>
    <x v="26"/>
    <s v="Paiement CNSS quatrième trimestre/Octobre, Novembre et Décembre 2025/Parfaite/3655380"/>
    <s v="Personnel"/>
    <s v="Office"/>
    <n v="139005"/>
    <n v="260.93511473523182"/>
    <n v="532.71864210781655"/>
    <s v="BCI"/>
    <s v="BQ-F-R18"/>
    <s v="PALF"/>
    <x v="1"/>
    <s v="CONGO"/>
    <m/>
    <m/>
    <m/>
  </r>
  <r>
    <x v="26"/>
    <s v="Paiement CNSS quatrième trimestre/Octobre, Novembre et Décembre 2025/Evariste/3655380"/>
    <s v="Personnel"/>
    <s v="Media"/>
    <n v="142789"/>
    <n v="266.69104674587578"/>
    <n v="535.40980000000002"/>
    <s v="BCI"/>
    <s v="BQ-F-R19"/>
    <s v="PALF"/>
    <x v="3"/>
    <s v="CONGO"/>
    <m/>
    <m/>
    <m/>
  </r>
  <r>
    <x v="26"/>
    <s v="Reglement Facture Gardiennage Mois de décembre 2025/3655236"/>
    <s v="Services"/>
    <s v="Office"/>
    <n v="260000"/>
    <n v="500.62487852927001"/>
    <n v="519.35093749999999"/>
    <s v="BCI"/>
    <s v="BQ-F-R20"/>
    <s v="PALF"/>
    <x v="0"/>
    <s v="CONGO"/>
    <m/>
    <m/>
    <m/>
  </r>
  <r>
    <x v="26"/>
    <s v="Reglement loyer du mois de décembre 2025/3655383"/>
    <s v="Rent &amp; Utilities"/>
    <s v="Office"/>
    <n v="500000"/>
    <n v="962.74015101782697"/>
    <n v="519.35093749999999"/>
    <s v="BCI"/>
    <s v="BQ-F-R21"/>
    <s v="PALF"/>
    <x v="0"/>
    <s v="CONGO"/>
    <m/>
    <m/>
    <m/>
  </r>
  <r>
    <x v="26"/>
    <s v="Frais de virement salaire du mois de decembre 2025"/>
    <s v="Bank fees"/>
    <s v="Office"/>
    <n v="10665"/>
    <n v="20.019948912997712"/>
    <n v="532.71864210781655"/>
    <s v="BCI"/>
    <s v="BQ-F-R22"/>
    <s v="PALF"/>
    <x v="1"/>
    <s v="CONGO"/>
    <m/>
    <m/>
    <m/>
  </r>
  <r>
    <x v="27"/>
    <s v="Maison-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7"/>
    <s v="Bureau- 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7"/>
    <s v="Taxi:  Bureau- Société de gardiennage (PGS) /remis de chèque du mois de Décembre 2025"/>
    <s v="Transport local"/>
    <s v="Office"/>
    <n v="1000"/>
    <n v="1.9254803020356539"/>
    <n v="519.35093749999999"/>
    <s v="Parfaite"/>
    <s v="P-F-D1"/>
    <s v="PALF"/>
    <x v="0"/>
    <s v="CONGO"/>
    <m/>
    <m/>
    <m/>
  </r>
  <r>
    <x v="27"/>
    <s v="Taxi:  Societé de gardiennage  - Bureau"/>
    <s v="Transport local"/>
    <s v="Office"/>
    <n v="1000"/>
    <n v="1.9254803020356539"/>
    <n v="519.35093749999999"/>
    <s v="Parfaite"/>
    <s v="P-F-D1"/>
    <s v="PALF"/>
    <x v="0"/>
    <s v="CONGO"/>
    <m/>
    <m/>
    <m/>
  </r>
  <r>
    <x v="27"/>
    <s v="Taxi:Bureau-Station Energie total/ Achat carburant groupe electrogène bureau"/>
    <s v="Transport local"/>
    <s v="Office"/>
    <n v="1000"/>
    <n v="1.9254803020356539"/>
    <n v="519.35093749999999"/>
    <s v="Parfaite"/>
    <s v="P-F-D1"/>
    <s v="PALF"/>
    <x v="0"/>
    <s v="CONGO"/>
    <m/>
    <m/>
    <m/>
  </r>
  <r>
    <x v="27"/>
    <s v="Taxi:   Station Energie total- Bureau"/>
    <s v="Transport local"/>
    <s v="Office"/>
    <n v="1000"/>
    <n v="1.9254803020356539"/>
    <n v="519.35093749999999"/>
    <s v="Parfaite"/>
    <s v="P-F-D1"/>
    <s v="PALF"/>
    <x v="0"/>
    <s v="CONGO"/>
    <m/>
    <m/>
    <m/>
  </r>
  <r>
    <x v="27"/>
    <s v="Achat carburant groupe electrogène Bureau ( 100 litres)"/>
    <s v="Office Materiels"/>
    <s v="Office"/>
    <n v="62500"/>
    <n v="117.32271983707052"/>
    <n v="532.71864210781655"/>
    <s v="Parfaite"/>
    <s v="CA-F-R2"/>
    <s v="PALF"/>
    <x v="1"/>
    <s v="CONGO"/>
    <m/>
    <m/>
    <m/>
  </r>
  <r>
    <x v="28"/>
    <s v="Maison-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8"/>
    <s v="Maison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9"/>
    <s v="Bureau-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9"/>
    <s v="Maison 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9"/>
    <s v="Taxi: Bureau -Societé SDF/ Achat encre de l'imprimante HP jet laser"/>
    <s v="Transport local"/>
    <s v="Office"/>
    <n v="1000"/>
    <n v="1.9254803020356539"/>
    <n v="519.35093749999999"/>
    <s v="Parfaite"/>
    <s v="P-F-D1"/>
    <s v="PALF"/>
    <x v="0"/>
    <s v="CONGO"/>
    <m/>
    <m/>
    <m/>
  </r>
  <r>
    <x v="29"/>
    <s v="Taxi: Societé SDF-Bureau"/>
    <s v="Transport local"/>
    <s v="Office"/>
    <n v="1000"/>
    <n v="1.9254803020356539"/>
    <n v="519.35093749999999"/>
    <s v="Parfaite"/>
    <s v="P-F-D1"/>
    <s v="PALF"/>
    <x v="0"/>
    <s v="CONGO"/>
    <m/>
    <m/>
    <m/>
  </r>
  <r>
    <x v="29"/>
    <s v="Achat encre HP Laser  02 noir et  03 couleur 216A"/>
    <s v="Office Materiels"/>
    <s v="Office"/>
    <n v="300000"/>
    <n v="577.64409061069614"/>
    <n v="519.35093749999999"/>
    <s v="Parfaite"/>
    <s v="CA-F-R3"/>
    <s v="PALF"/>
    <x v="0"/>
    <s v="CONGO"/>
    <m/>
    <m/>
    <m/>
  </r>
  <r>
    <x v="30"/>
    <s v="Maison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0"/>
    <s v="Bureau - Aspinall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0"/>
    <s v="Aspinall 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0"/>
    <s v="Bureau -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0"/>
    <s v="Taxi:  Bureau - CNSS/Depot de la DAS (Declaration annuel des salaires) de l'année 2025"/>
    <s v="Transport local"/>
    <s v="Office"/>
    <n v="1000"/>
    <n v="1.9254803020356539"/>
    <n v="519.35093749999999"/>
    <s v="Parfaite"/>
    <s v="P-F-D1"/>
    <s v="PALF"/>
    <x v="0"/>
    <s v="CONGO"/>
    <m/>
    <m/>
    <m/>
  </r>
  <r>
    <x v="30"/>
    <s v="Taxi: CNSS-Bureau"/>
    <s v="Transport local"/>
    <s v="Office"/>
    <n v="1000"/>
    <n v="1.9254803020356539"/>
    <n v="519.35093749999999"/>
    <s v="Parfaite"/>
    <s v="P-F-D1"/>
    <s v="PALF"/>
    <x v="0"/>
    <s v="CONGO"/>
    <m/>
    <m/>
    <m/>
  </r>
  <r>
    <x v="31"/>
    <s v="Maison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1"/>
    <s v="Bureau-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2"/>
    <s v="Maison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2"/>
    <s v="Bureau-Aspinall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2"/>
    <s v="Aspinall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2"/>
    <s v="Bureau- 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2"/>
    <s v="Achat de 04 bonbonne d'eau mineral 10 LITRES/Bureau"/>
    <s v="Office Materiels"/>
    <s v="Office"/>
    <n v="12000"/>
    <n v="23.105763624427848"/>
    <n v="519.35093749999999"/>
    <s v="Romain"/>
    <s v="CA-F-R4"/>
    <s v="PALF"/>
    <x v="0"/>
    <s v="CONGO"/>
    <m/>
    <m/>
    <m/>
  </r>
  <r>
    <x v="33"/>
    <s v="Maison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3"/>
    <s v="Bureau- 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3"/>
    <s v="Taxi:  Bureau- Cabinet d'avocat/remis  du chèque du mois de novembre 2025 Me LOCKO"/>
    <s v="Transport local"/>
    <s v="Office"/>
    <n v="1000"/>
    <n v="1.9254803020356539"/>
    <n v="519.35093749999999"/>
    <s v="Parfaite"/>
    <s v="P-F-D1"/>
    <s v="PALF"/>
    <x v="0"/>
    <s v="CONGO"/>
    <m/>
    <m/>
    <m/>
  </r>
  <r>
    <x v="33"/>
    <s v="Taxi:  Cabinet d'Avocat - Domicile"/>
    <s v="Transport local"/>
    <s v="Office"/>
    <n v="1000"/>
    <n v="1.9254803020356539"/>
    <n v="519.35093749999999"/>
    <s v="Parfaite"/>
    <s v="P-F-D1"/>
    <s v="PALF"/>
    <x v="0"/>
    <s v="CONGO"/>
    <m/>
    <m/>
    <m/>
  </r>
  <r>
    <x v="33"/>
    <s v=" Frais de prestation de nettoyage jardin PALF Janvier 2026"/>
    <s v="Services"/>
    <s v="Office"/>
    <n v="40000"/>
    <n v="75.086540695725134"/>
    <n v="532.71864210781655"/>
    <s v="Parfaite"/>
    <s v="CA-F-R5"/>
    <s v="PALF"/>
    <x v="1"/>
    <s v="CONGO"/>
    <m/>
    <m/>
    <m/>
  </r>
  <r>
    <x v="34"/>
    <s v="Maison 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4"/>
    <s v="Bureau - 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4"/>
    <s v="RAPATRIEME01100 RAO00011034/30 Millions d'Amis"/>
    <s v="Grant"/>
    <m/>
    <m/>
    <n v="0"/>
    <n v="524.80372990353703"/>
    <s v="BCI"/>
    <s v="BQ-F-G2"/>
    <s v="PALF"/>
    <x v="2"/>
    <s v="CONGO"/>
    <n v="1549972"/>
    <n v="3000"/>
    <m/>
  </r>
  <r>
    <x v="35"/>
    <s v="Maison- Aéroport(commissariat spécial)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5"/>
    <s v="Aéroport -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5"/>
    <s v="Bureau- Aspinall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5"/>
    <s v="Aspinall-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5"/>
    <s v="Bureau- 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5"/>
    <s v="Taxi: Bureau -Banque BCI/ Demande d'information sur les fonds reçu "/>
    <s v="Transport local"/>
    <s v="Office"/>
    <n v="1000"/>
    <n v="1.9254803020356539"/>
    <n v="519.35093749999999"/>
    <s v="Parfaite"/>
    <s v="P-F-D1"/>
    <s v="PALF"/>
    <x v="0"/>
    <s v="CONGO"/>
    <m/>
    <m/>
    <m/>
  </r>
  <r>
    <x v="35"/>
    <s v="Taxi: Banque BCI-Bureau"/>
    <s v="Transport local"/>
    <s v="Office"/>
    <n v="1000"/>
    <n v="1.9254803020356539"/>
    <n v="519.35093749999999"/>
    <s v="Parfaite"/>
    <s v="P-F-D1"/>
    <s v="PALF"/>
    <x v="0"/>
    <s v="CONGO"/>
    <m/>
    <m/>
    <m/>
  </r>
  <r>
    <x v="35"/>
    <s v="Frais de ramassage Ordure Février 2026"/>
    <s v="Rent &amp; Utilities"/>
    <s v="Office"/>
    <n v="4000"/>
    <n v="7.7019212081426156"/>
    <n v="519.35093749999999"/>
    <s v="Parfaite"/>
    <s v="CA-F-R6"/>
    <s v="PALF"/>
    <x v="0"/>
    <s v="CONGO"/>
    <m/>
    <m/>
    <m/>
  </r>
  <r>
    <x v="36"/>
    <s v="Maison-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6"/>
    <s v="Credit telephonique MTN/PALF/ du 02 au 07 Mars  2026/ DOVI"/>
    <s v="Telephone"/>
    <s v="Management"/>
    <n v="10000"/>
    <n v="18.771635173931283"/>
    <n v="532.71864210781655"/>
    <s v="DOVI"/>
    <s v="DH-M-R1"/>
    <s v="PALF"/>
    <x v="3"/>
    <s v="CONGO"/>
    <m/>
    <m/>
    <m/>
  </r>
  <r>
    <x v="36"/>
    <s v="Règlement loyer Février/Coordinateur"/>
    <s v="Personnel"/>
    <s v="Management"/>
    <n v="250000"/>
    <n v="469.29087934828209"/>
    <n v="532.71864210781655"/>
    <s v="DOVI"/>
    <s v="DH-M-R2"/>
    <s v="PALF"/>
    <x v="3"/>
    <s v="CONGO"/>
    <m/>
    <m/>
    <m/>
  </r>
  <r>
    <x v="36"/>
    <s v="Bureau- 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6"/>
    <s v="Credit telephonique MTN PALF/du 02   au 09 Mars 2026/Legal/ crepin"/>
    <s v="Telephone"/>
    <s v="Legal"/>
    <n v="7500"/>
    <n v="14.441102265267405"/>
    <n v="519.35093749999999"/>
    <s v="Crépin"/>
    <s v="CR-M-R1"/>
    <s v="PALF"/>
    <x v="3"/>
    <s v="CONGO"/>
    <m/>
    <m/>
    <m/>
  </r>
  <r>
    <x v="36"/>
    <s v="Taxi: Bureau -Banque BCI/ Retrait espece "/>
    <s v="Transport local"/>
    <s v="Office"/>
    <n v="1000"/>
    <n v="1.867727535907062"/>
    <n v="535.41"/>
    <s v="Parfaite"/>
    <s v="P-M-D1"/>
    <s v="PALF"/>
    <x v="3"/>
    <s v="CONGO"/>
    <m/>
    <m/>
    <m/>
  </r>
  <r>
    <x v="36"/>
    <s v="Taxi: Banque BCI-Direction MTN Congo/Achat Crédit"/>
    <s v="Transport local"/>
    <s v="Office"/>
    <n v="1000"/>
    <n v="1.867727535907062"/>
    <n v="535.41"/>
    <s v="Parfaite"/>
    <s v="P-M-D1"/>
    <s v="PALF"/>
    <x v="3"/>
    <s v="CONGO"/>
    <m/>
    <m/>
    <m/>
  </r>
  <r>
    <x v="36"/>
    <s v="Taxi:   Direction MTN Congo- Bureau"/>
    <s v="Transport local"/>
    <s v="Office"/>
    <n v="1000"/>
    <n v="1.867727535907062"/>
    <n v="535.41"/>
    <s v="Parfaite"/>
    <s v="P-M-D1"/>
    <s v="PALF"/>
    <x v="3"/>
    <s v="CONGO"/>
    <m/>
    <m/>
    <m/>
  </r>
  <r>
    <x v="36"/>
    <s v="Credit teléphonique MTN PALF/ du 02 au 09 Mars 2026/Management/ Parfaite"/>
    <s v="Telephone"/>
    <s v="Management"/>
    <n v="5000"/>
    <n v="9.3386376795353101"/>
    <n v="535.41"/>
    <s v="Parfaite"/>
    <s v="P-M-R1"/>
    <s v="PALF"/>
    <x v="3"/>
    <s v="CONGO"/>
    <m/>
    <m/>
    <m/>
  </r>
  <r>
    <x v="36"/>
    <s v="Taxi : bureau - agence transbony "/>
    <s v="Transport local"/>
    <s v="Investigation"/>
    <n v="1000"/>
    <n v="1.867727535907062"/>
    <n v="535.41"/>
    <s v="T73"/>
    <s v="T73-M-D1"/>
    <s v="PALF"/>
    <x v="3"/>
    <s v="CONGO"/>
    <m/>
    <m/>
    <m/>
  </r>
  <r>
    <x v="36"/>
    <s v="Credit telephonique MTN PALF/ du 02 au 09 Mars 2026/ Investigation/T73"/>
    <s v="Telephone"/>
    <s v="Investigation"/>
    <n v="7500"/>
    <n v="14.007956519302965"/>
    <n v="535.41"/>
    <s v="T73"/>
    <s v="T73-M-R1"/>
    <s v="PALF"/>
    <x v="3"/>
    <s v="CONGO"/>
    <m/>
    <m/>
    <m/>
  </r>
  <r>
    <x v="36"/>
    <s v="Taxi : agence transbony - marché mikalou"/>
    <s v="Transport local"/>
    <s v="Investigation"/>
    <n v="1000"/>
    <n v="1.867727535907062"/>
    <n v="535.41"/>
    <s v="T73"/>
    <s v="T73-M-D1"/>
    <s v="PALF"/>
    <x v="3"/>
    <s v="CONGO"/>
    <m/>
    <m/>
    <m/>
  </r>
  <r>
    <x v="36"/>
    <s v="Taxi : marché mikalou - zone libanga ya talo"/>
    <s v="Transport local"/>
    <s v="Investigation"/>
    <n v="1000"/>
    <n v="1.867727535907062"/>
    <n v="535.41"/>
    <s v="T73"/>
    <s v="T73-M-D1"/>
    <s v="PALF"/>
    <x v="3"/>
    <s v="CONGO"/>
    <m/>
    <m/>
    <m/>
  </r>
  <r>
    <x v="36"/>
    <s v="Taxi : zone libanga ya talo - domicile"/>
    <s v="Transport local"/>
    <s v="Investigation"/>
    <n v="1000"/>
    <n v="1.867727535907062"/>
    <n v="535.41"/>
    <s v="T73"/>
    <s v="T73-M-D1"/>
    <s v="PALF"/>
    <x v="3"/>
    <s v="CONGO"/>
    <m/>
    <m/>
    <m/>
  </r>
  <r>
    <x v="36"/>
    <s v="Achat boissons/ une cible"/>
    <s v="Trust building"/>
    <s v="Investigation"/>
    <n v="2000"/>
    <n v="3.735455071814124"/>
    <n v="535.41"/>
    <s v="T73"/>
    <s v="T73-M-D2"/>
    <s v="PALF"/>
    <x v="3"/>
    <s v="CONGO"/>
    <m/>
    <m/>
    <m/>
  </r>
  <r>
    <x v="36"/>
    <s v="Achat billet: Brazzaville - Owando/T73"/>
    <s v="Transport Interurbain"/>
    <s v="Investigation"/>
    <n v="8000"/>
    <n v="14.941820287256496"/>
    <n v="535.41"/>
    <s v="T73"/>
    <s v="T73-M-R2"/>
    <s v="PALF"/>
    <x v="3"/>
    <s v="CONGO"/>
    <m/>
    <m/>
    <m/>
  </r>
  <r>
    <x v="36"/>
    <s v="T73- CONGO Ration du 03 au 08/03/2026 à Owando et Ewo (05 Nuitées)"/>
    <s v="Travel subsistence"/>
    <s v="Investigation"/>
    <n v="50000"/>
    <n v="93.386376795353101"/>
    <n v="535.41"/>
    <s v="T73"/>
    <s v="T73-M-D4"/>
    <s v="PALF"/>
    <x v="3"/>
    <s v="CONGO"/>
    <m/>
    <m/>
    <m/>
  </r>
  <r>
    <x v="36"/>
    <s v="Taxi : domicile - agence transbony"/>
    <s v="Transport local"/>
    <s v="Investigation"/>
    <n v="1000"/>
    <n v="1.867727535907062"/>
    <n v="535.41"/>
    <s v="T73"/>
    <s v="T73-M-D1"/>
    <s v="PALF"/>
    <x v="3"/>
    <s v="CONGO"/>
    <m/>
    <m/>
    <m/>
  </r>
  <r>
    <x v="36"/>
    <s v="Taxi moto : agence transbony - centre ville ( recherche hotel)"/>
    <s v="Transport local"/>
    <s v="Investigation"/>
    <n v="500"/>
    <n v="0.93386376795353099"/>
    <n v="535.41"/>
    <s v="T73"/>
    <s v="T73-M-D1"/>
    <s v="PALF"/>
    <x v="3"/>
    <s v="CONGO"/>
    <m/>
    <m/>
    <m/>
  </r>
  <r>
    <x v="36"/>
    <s v="Taxi moto : centre ville - zone hopital ( recherche hotel)"/>
    <s v="Transport local"/>
    <s v="Investigation"/>
    <n v="500"/>
    <n v="0.93386376795353099"/>
    <n v="535.41"/>
    <s v="T73"/>
    <s v="T73-M-D1"/>
    <s v="PALF"/>
    <x v="3"/>
    <s v="CONGO"/>
    <m/>
    <m/>
    <m/>
  </r>
  <r>
    <x v="36"/>
    <s v="Taxi moto : zone hopital - quartier aloko (fin de journée)"/>
    <s v="Transport local"/>
    <s v="Investigation"/>
    <n v="500"/>
    <n v="0.93386376795353099"/>
    <n v="535.41"/>
    <s v="T73"/>
    <s v="T73-M-D1"/>
    <s v="PALF"/>
    <x v="3"/>
    <s v="CONGO"/>
    <m/>
    <m/>
    <m/>
  </r>
  <r>
    <x v="36"/>
    <s v="Taxi : Bureau - Agence trans bony/ Achat billet Brazzaville - Makoua"/>
    <s v="Transport local"/>
    <s v="Investigation"/>
    <n v="1000"/>
    <n v="1.867727535907062"/>
    <n v="535.41"/>
    <s v="IT87"/>
    <s v="IT87-M-D1"/>
    <s v="PALF"/>
    <x v="3"/>
    <s v="CONGO"/>
    <m/>
    <m/>
    <m/>
  </r>
  <r>
    <x v="36"/>
    <s v="Achat billet Brazzaville - Makoua/ IT87"/>
    <s v="Transport Interurbain"/>
    <s v="Investigation"/>
    <n v="9000"/>
    <n v="16.809547823163559"/>
    <n v="535.41"/>
    <s v="IT87"/>
    <s v="IT87-M-R1"/>
    <s v="PALF"/>
    <x v="3"/>
    <s v="CONGO"/>
    <m/>
    <m/>
    <m/>
  </r>
  <r>
    <x v="36"/>
    <s v="Taxi : Agence trans bony - PK/ Prospection"/>
    <s v="Transport local"/>
    <s v="Investigation"/>
    <n v="1000"/>
    <n v="1.867727535907062"/>
    <n v="535.41"/>
    <s v="IT87"/>
    <s v="IT87-M-D1"/>
    <s v="PALF"/>
    <x v="3"/>
    <s v="CONGO"/>
    <m/>
    <m/>
    <m/>
  </r>
  <r>
    <x v="36"/>
    <s v="Taxi : PK - Mouhoumi/ Prospection"/>
    <s v="Transport local"/>
    <s v="Investigation"/>
    <n v="1000"/>
    <n v="1.867727535907062"/>
    <n v="535.41"/>
    <s v="IT87"/>
    <s v="IT87-M-D1"/>
    <s v="PALF"/>
    <x v="3"/>
    <s v="CONGO"/>
    <m/>
    <m/>
    <m/>
  </r>
  <r>
    <x v="36"/>
    <s v="Taxi : Mouhoumi - Domicile/ Retour de Prospection"/>
    <s v="Transport local"/>
    <s v="Investigation"/>
    <n v="1500"/>
    <n v="2.8015913038605929"/>
    <n v="535.41"/>
    <s v="IT87"/>
    <s v="IT87-M-D1"/>
    <s v="PALF"/>
    <x v="3"/>
    <s v="CONGO"/>
    <m/>
    <m/>
    <m/>
  </r>
  <r>
    <x v="36"/>
    <s v="Credit telephonique MTN PALF/du 02 au 09 Mars 2026/Investigation /IT87"/>
    <s v="Telephone"/>
    <s v="Investigation"/>
    <n v="7500"/>
    <n v="14.007956519302965"/>
    <n v="535.41"/>
    <s v="IT87"/>
    <s v="IT87-M-R2"/>
    <s v="PALF"/>
    <x v="3"/>
    <s v="CONGO"/>
    <m/>
    <m/>
    <m/>
  </r>
  <r>
    <x v="36"/>
    <s v="Paiement Honoraire Me LOCKO/Mois de novembre  2025/3655238"/>
    <s v="Lawyer Fees"/>
    <s v="Legal"/>
    <n v="150000"/>
    <n v="280.1591303860593"/>
    <n v="535.41"/>
    <s v="BCI"/>
    <s v="BQ-M-R1"/>
    <s v="PALF"/>
    <x v="3"/>
    <s v="CONGO"/>
    <m/>
    <m/>
    <m/>
  </r>
  <r>
    <x v="36"/>
    <s v="Reglement Loyer du Mois de Janvier 2026/3655240"/>
    <s v="Rent &amp; Utilities"/>
    <s v="Office"/>
    <n v="500000"/>
    <n v="933.86376795353101"/>
    <n v="535.41"/>
    <s v="BCI"/>
    <s v="BQ-M-R2"/>
    <s v="PALF"/>
    <x v="3"/>
    <s v="CONGO"/>
    <m/>
    <m/>
    <m/>
  </r>
  <r>
    <x v="36"/>
    <s v="Reglement Facture Gardiennage du mois de Janvier 2026/3655241"/>
    <s v="Services"/>
    <s v="Office"/>
    <n v="260000"/>
    <n v="485.60915933583613"/>
    <n v="535.41"/>
    <s v="BCI"/>
    <s v="BQ-M-R3"/>
    <s v="PALF"/>
    <x v="3"/>
    <s v="CONGO"/>
    <m/>
    <m/>
    <m/>
  </r>
  <r>
    <x v="37"/>
    <s v="Maison-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7"/>
    <s v="Bureau - Bureau Lussaka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7"/>
    <s v="Bureau lussaka -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7"/>
    <s v="Bureau-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7"/>
    <s v="Taxi:  Domicile- Société de gardiennage (PGS) /remise de chèque du mois de Janvier 2026"/>
    <s v="Transport local"/>
    <s v="Office"/>
    <n v="1000"/>
    <n v="1.867727535907062"/>
    <n v="535.41"/>
    <s v="Parfaite"/>
    <s v="P-M-D1"/>
    <s v="PALF"/>
    <x v="3"/>
    <s v="CONGO"/>
    <m/>
    <m/>
    <m/>
  </r>
  <r>
    <x v="37"/>
    <s v="Taxi:  Societé de gardiennage  - Bureau"/>
    <s v="Transport local"/>
    <s v="Office"/>
    <n v="1000"/>
    <n v="1.867727535907062"/>
    <n v="535.41"/>
    <s v="Parfaite"/>
    <s v="P-M-D1"/>
    <s v="PALF"/>
    <x v="3"/>
    <s v="CONGO"/>
    <m/>
    <m/>
    <m/>
  </r>
  <r>
    <x v="37"/>
    <s v="IT87- CONGO Ration du 03 au 08/03/2026 à Etoumbi et Makoua"/>
    <s v="Travel subsistence"/>
    <s v="Investigation"/>
    <n v="50000"/>
    <n v="93.386376795353101"/>
    <n v="535.41"/>
    <s v="IT87"/>
    <s v="IT87-M-D3"/>
    <s v="PALF"/>
    <x v="3"/>
    <s v="CONGO"/>
    <m/>
    <m/>
    <m/>
  </r>
  <r>
    <x v="37"/>
    <s v="Taxi : Domicile - Agence trans bony/ Départ pour Makoua"/>
    <s v="Transport local"/>
    <s v="Investigation"/>
    <n v="2000"/>
    <n v="3.735455071814124"/>
    <n v="535.41"/>
    <s v="IT87"/>
    <s v="IT87-M-D1"/>
    <s v="PALF"/>
    <x v="3"/>
    <s v="CONGO"/>
    <m/>
    <m/>
    <m/>
  </r>
  <r>
    <x v="37"/>
    <s v="Taxi : Agence trans bony - Parking/ Arrivé à Makoua"/>
    <s v="Transport local"/>
    <s v="Investigation"/>
    <n v="500"/>
    <n v="0.93386376795353099"/>
    <n v="535.41"/>
    <s v="IT87"/>
    <s v="IT87-M-D1"/>
    <s v="PALF"/>
    <x v="3"/>
    <s v="CONGO"/>
    <m/>
    <m/>
    <m/>
  </r>
  <r>
    <x v="37"/>
    <s v="Achat billet Makoua - Etoumbi/ IT87"/>
    <s v="Transport Interurbain"/>
    <s v="Investigation"/>
    <n v="5000"/>
    <n v="9.3386376795353101"/>
    <n v="535.41"/>
    <s v="IT87"/>
    <s v="IT87-M-R3"/>
    <s v="PALF"/>
    <x v="3"/>
    <s v="CONGO"/>
    <m/>
    <m/>
    <m/>
  </r>
  <r>
    <x v="37"/>
    <s v="Taxi moto : Parking - Hôtel Akoua/ Arrivé à Etoumbi"/>
    <s v="Transport local"/>
    <s v="Investigation"/>
    <n v="500"/>
    <n v="0.93386376795353099"/>
    <n v="535.41"/>
    <s v="IT87"/>
    <s v="IT87-M-D1"/>
    <s v="PALF"/>
    <x v="3"/>
    <s v="CONGO"/>
    <m/>
    <m/>
    <m/>
  </r>
  <r>
    <x v="37"/>
    <s v="Taxi moto : Hôtel Akoua - Hôtel Leon/ Recherche de logement"/>
    <s v="Transport local"/>
    <s v="Investigation"/>
    <n v="500"/>
    <n v="0.93386376795353099"/>
    <n v="535.41"/>
    <s v="IT87"/>
    <s v="IT87-M-D1"/>
    <s v="PALF"/>
    <x v="3"/>
    <s v="CONGO"/>
    <m/>
    <m/>
    <m/>
  </r>
  <r>
    <x v="38"/>
    <s v="Maison-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8"/>
    <s v="Bureau- Aspinall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38"/>
    <s v="Aspinall- 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38"/>
    <s v="Bureau- 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38"/>
    <s v="Règlement facture d'eau du mois de Janvier et Février 2026 bureau PALF"/>
    <s v="Rent &amp; Utilities"/>
    <s v="Office"/>
    <n v="12750"/>
    <n v="23.813526082815041"/>
    <n v="535.41"/>
    <s v="Parfaite"/>
    <s v="CA-M-R2"/>
    <s v="PALF"/>
    <x v="3"/>
    <s v="CONGO"/>
    <m/>
    <m/>
    <m/>
  </r>
  <r>
    <x v="38"/>
    <s v="Taxi: Bureau- Direction LCDE/ Reglement facture d'eau du mois de Janvier Février 2026"/>
    <s v="Transport local"/>
    <s v="Office"/>
    <n v="1000"/>
    <n v="1.867727535907062"/>
    <n v="535.41"/>
    <s v="Parfaite"/>
    <s v="P-M-D1"/>
    <s v="PALF"/>
    <x v="3"/>
    <s v="CONGO"/>
    <m/>
    <m/>
    <m/>
  </r>
  <r>
    <x v="38"/>
    <s v="Taxi: Direction LCDE- Direction MTN / Achat crédit télephonique equipe PALF"/>
    <s v="Transport local"/>
    <s v="Office"/>
    <n v="1000"/>
    <n v="1.867727535907062"/>
    <n v="535.41"/>
    <s v="Parfaite"/>
    <s v="P-M-D1"/>
    <s v="PALF"/>
    <x v="3"/>
    <s v="CONGO"/>
    <m/>
    <m/>
    <m/>
  </r>
  <r>
    <x v="38"/>
    <s v="Taxi: Direction MTN - Domicile"/>
    <s v="Transport local"/>
    <s v="Office"/>
    <n v="1000"/>
    <n v="1.867727535907062"/>
    <n v="535.41"/>
    <s v="Parfaite"/>
    <s v="P-M-D1"/>
    <s v="PALF"/>
    <x v="3"/>
    <s v="CONGO"/>
    <m/>
    <m/>
    <m/>
  </r>
  <r>
    <x v="38"/>
    <s v="Credit telephonique MTN PALF/ du 04 au 09 Mars 2026/ Investigation/P29"/>
    <s v="Telephone"/>
    <s v="Investigation"/>
    <n v="7500"/>
    <n v="14.007956519302965"/>
    <n v="535.41"/>
    <s v="P29"/>
    <s v="P29-M-R1"/>
    <s v="PALF"/>
    <x v="3"/>
    <s v="CONGO"/>
    <m/>
    <m/>
    <m/>
  </r>
  <r>
    <x v="38"/>
    <s v="Taxi moto : hotel le plaisir - centre vill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8"/>
    <s v="Taxi moto : centre ville - zone du marché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8"/>
    <s v="Taxi moto : centre ville - gare routièr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8"/>
    <s v="Taxi moto : gare routière - quartier port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8"/>
    <s v="Taxi moto : quartier port - charden farel (recuperation fond)"/>
    <s v="Transport local"/>
    <s v="Investigation"/>
    <n v="500"/>
    <n v="0.93386376795353099"/>
    <n v="535.41"/>
    <s v="T73"/>
    <s v="T73-M-D1"/>
    <s v="PALF"/>
    <x v="3"/>
    <s v="CONGO"/>
    <m/>
    <m/>
    <m/>
  </r>
  <r>
    <x v="38"/>
    <s v="Taxi moto : charden farel - zone eglis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8"/>
    <s v="Taxi moto : zone église - hotel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8"/>
    <s v="Achat  boissons/ une cible"/>
    <s v="Trust building"/>
    <s v="Investigation"/>
    <n v="2000"/>
    <n v="3.735455071814124"/>
    <n v="535.41"/>
    <s v="T73"/>
    <s v="T73-M-D2"/>
    <s v="PALF"/>
    <x v="3"/>
    <s v="CONGO"/>
    <m/>
    <m/>
    <m/>
  </r>
  <r>
    <x v="38"/>
    <s v="Taxi moto : Hôtel - Centre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38"/>
    <s v="Taxi moto : Centre - Quartier Ouenze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38"/>
    <s v="Achat boissons avec la cible"/>
    <s v="Trust building"/>
    <s v="Investigation"/>
    <n v="2000"/>
    <n v="3.735455071814124"/>
    <n v="535.41"/>
    <s v="IT87"/>
    <s v="IT87-M-D2"/>
    <s v="PALF"/>
    <x v="3"/>
    <s v="CONGO"/>
    <m/>
    <m/>
    <m/>
  </r>
  <r>
    <x v="38"/>
    <s v="Taxi moto : Quartier Ouenze - Charden Farell/ Retrait du budget"/>
    <s v="Transport local"/>
    <s v="Investigation"/>
    <n v="500"/>
    <n v="0.93386376795353099"/>
    <n v="535.41"/>
    <s v="IT87"/>
    <s v="IT87-M-D1"/>
    <s v="PALF"/>
    <x v="3"/>
    <s v="CONGO"/>
    <m/>
    <m/>
    <m/>
  </r>
  <r>
    <x v="38"/>
    <s v="Taxi moto : Charden Farell - Quartier Kosoloba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38"/>
    <s v="Taxi moto : Quartier Kosoloba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38"/>
    <s v="Credit telephonique MTN PALF/ du 04 au 09 Mars 2026/Legal//Donald-Roméo"/>
    <s v="Telephone"/>
    <s v="Legal"/>
    <n v="3000"/>
    <n v="5.6031826077211857"/>
    <n v="535.41"/>
    <s v="Donald-Romeo"/>
    <s v="DR-M-R1"/>
    <s v="PALF"/>
    <x v="3"/>
    <s v="CONGO"/>
    <m/>
    <m/>
    <m/>
  </r>
  <r>
    <x v="38"/>
    <s v="Credit telephonique MTN PALF/du 04 au 09 Mars 2026/Média/ Evariste"/>
    <s v="Telephone"/>
    <s v="Media"/>
    <n v="3000"/>
    <n v="5.6031826077211857"/>
    <n v="535.41"/>
    <s v="Evariste"/>
    <s v="EV-M-R1"/>
    <s v="PALF"/>
    <x v="3"/>
    <s v="CONGO"/>
    <m/>
    <m/>
    <m/>
  </r>
  <r>
    <x v="38"/>
    <s v="Taxi: Bureau-Charden Farel(pour le transfert des fonds)"/>
    <s v="Transport local"/>
    <s v="Legal"/>
    <n v="500"/>
    <n v="0.93386376795353099"/>
    <n v="535.41"/>
    <s v="Romain"/>
    <s v="RM-M-D1"/>
    <s v="PALF"/>
    <x v="3"/>
    <s v="CONGO"/>
    <m/>
    <m/>
    <m/>
  </r>
  <r>
    <x v="38"/>
    <s v="Taxi: Charden Farell-Bureau"/>
    <s v="Transport local"/>
    <s v="Legal"/>
    <n v="500"/>
    <n v="0.93386376795353099"/>
    <n v="535.41"/>
    <s v="Romain"/>
    <s v="RM-M-D1"/>
    <s v="PALF"/>
    <x v="3"/>
    <s v="CONGO"/>
    <m/>
    <m/>
    <m/>
  </r>
  <r>
    <x v="38"/>
    <s v="Credit telephonique MTN PALF/du 04 au 09 Mars 2026/Legal/Romain"/>
    <s v="Telephone"/>
    <s v="Legal"/>
    <n v="2500"/>
    <n v="4.669318839767655"/>
    <n v="535.41"/>
    <s v="Romain"/>
    <s v="RM-M-R1"/>
    <s v="PALF"/>
    <x v="3"/>
    <s v="CONGO"/>
    <m/>
    <m/>
    <m/>
  </r>
  <r>
    <x v="38"/>
    <s v="Frais de tansfert d'argent  à T73  et IT87 par cf"/>
    <s v="Transfert fees"/>
    <s v="Office"/>
    <n v="2920"/>
    <n v="5.4537644048486209"/>
    <n v="535.41"/>
    <s v="Romain"/>
    <s v="CA-M-R1"/>
    <s v="PALF"/>
    <x v="3"/>
    <s v="CONGO"/>
    <m/>
    <m/>
    <m/>
  </r>
  <r>
    <x v="39"/>
    <s v="Maison-Bureau"/>
    <s v="Transport local"/>
    <s v="Management"/>
    <n v="1000"/>
    <n v="1.867727535907062"/>
    <n v="535.41"/>
    <s v="DOVI"/>
    <s v="DH-M-D1"/>
    <s v="PALF"/>
    <x v="3"/>
    <s v="CONGO"/>
    <m/>
    <m/>
    <m/>
  </r>
  <r>
    <x v="39"/>
    <s v="Bureau-Aspinall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9"/>
    <s v="Aspinall -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9"/>
    <s v="Bureau- 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9"/>
    <s v="Taxi: Bureau - Domicile/ travaille sur les dépenses du mois de dec 2025 janv et fév 2026 heure 18h20"/>
    <s v="Transport local"/>
    <s v="Office"/>
    <n v="1000"/>
    <n v="1.867727535907062"/>
    <n v="535.41"/>
    <s v="Parfaite"/>
    <s v="P-M-D1"/>
    <s v="PALF"/>
    <x v="3"/>
    <s v="CONGO"/>
    <m/>
    <m/>
    <m/>
  </r>
  <r>
    <x v="39"/>
    <s v="Taxi domicile-aeroport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39"/>
    <s v="Taxi aeroport-kombo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39"/>
    <s v="Taxi kombo-capitaine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39"/>
    <s v="Taxi capitaine-moukondo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39"/>
    <s v="Taxi moukondo-matsoua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39"/>
    <s v="Taxi matsoua-domicile"/>
    <s v="Transport local"/>
    <s v="Investigation"/>
    <n v="1000"/>
    <n v="1.867727535907062"/>
    <n v="535.41"/>
    <s v="P29"/>
    <s v="P29-M-D1"/>
    <s v="PALF"/>
    <x v="3"/>
    <s v="CONGO"/>
    <m/>
    <m/>
    <m/>
  </r>
  <r>
    <x v="39"/>
    <s v="Achat boisson"/>
    <s v="Trust building"/>
    <s v="Investigation"/>
    <n v="1500"/>
    <n v="2.8015913038605929"/>
    <n v="535.41"/>
    <s v="P29"/>
    <s v="P29-M-D5"/>
    <s v="PALF"/>
    <x v="3"/>
    <s v="CONGO"/>
    <m/>
    <m/>
    <m/>
  </r>
  <r>
    <x v="39"/>
    <s v="Taxi moto : hotel le palisir - zone stade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9"/>
    <s v="Taxi moto : zone stade -zone hopital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9"/>
    <s v="Taxi moto : zone hopital - quarier base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9"/>
    <s v="Taxi moto : quarier base - place rouge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9"/>
    <s v="Taxi moto : place rouge - hotel (fin de journée)"/>
    <s v="Transport local"/>
    <s v="Investigation"/>
    <n v="500"/>
    <n v="0.93386376795353099"/>
    <n v="535.41"/>
    <s v="T73"/>
    <s v="T73-M-D1"/>
    <s v="PALF"/>
    <x v="3"/>
    <s v="CONGO"/>
    <m/>
    <m/>
    <m/>
  </r>
  <r>
    <x v="39"/>
    <s v="Achat boisson/ une cible"/>
    <s v="Trust building"/>
    <s v="Investigation"/>
    <n v="1650"/>
    <n v="3.0817504342466524"/>
    <n v="535.41"/>
    <s v="T73"/>
    <s v="T73-M-D2"/>
    <s v="PALF"/>
    <x v="3"/>
    <s v="CONGO"/>
    <m/>
    <m/>
    <m/>
  </r>
  <r>
    <x v="39"/>
    <s v="Taxi moto : hotel le plaisir - gare routière ( départ pour Ewo)"/>
    <s v="Transport local"/>
    <s v="Investigation"/>
    <n v="500"/>
    <n v="0.93386376795353099"/>
    <n v="535.41"/>
    <s v="T73"/>
    <s v="T73-M-D1"/>
    <s v="PALF"/>
    <x v="3"/>
    <s v="CONGO"/>
    <m/>
    <m/>
    <m/>
  </r>
  <r>
    <x v="39"/>
    <s v="T73 - CONGO Frais d'hotel du 03 au 06/03/2026 à Owando (03Nuitées)"/>
    <s v="Travel subsistence"/>
    <s v="Investigation"/>
    <n v="30000"/>
    <n v="56.031826077211861"/>
    <n v="535.41"/>
    <s v="T73"/>
    <s v="T73-M-R4"/>
    <s v="PALF"/>
    <x v="3"/>
    <s v="CONGO"/>
    <m/>
    <m/>
    <m/>
  </r>
  <r>
    <x v="39"/>
    <s v="Achat billet : Owando - Ewo /T73"/>
    <s v="Transport Interurbain"/>
    <s v="Investigation"/>
    <n v="7000"/>
    <n v="13.074092751349434"/>
    <n v="535.41"/>
    <s v="T73"/>
    <s v="T73-M-R5"/>
    <s v="PALF"/>
    <x v="3"/>
    <s v="CONGO"/>
    <m/>
    <m/>
    <m/>
  </r>
  <r>
    <x v="39"/>
    <s v="Taxi moto : Hôtel - Marché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39"/>
    <s v="Achat boisons avec la cible"/>
    <s v="Trust building"/>
    <s v="Investigation"/>
    <n v="2000"/>
    <n v="3.735455071814124"/>
    <n v="535.41"/>
    <s v="IT87"/>
    <s v="IT87-M-D2"/>
    <s v="PALF"/>
    <x v="3"/>
    <s v="CONGO"/>
    <m/>
    <m/>
    <m/>
  </r>
  <r>
    <x v="39"/>
    <s v="Taxi moto : Marché - Quartier Talangai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39"/>
    <s v="Taxi moto : Quartier Talangai - Av. Sassou Nguesso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39"/>
    <s v="Taxi moto : Av. Sassou Nguesso - Marché/ Rencontrer une cible"/>
    <s v="Transport local"/>
    <s v="Investigation"/>
    <n v="500"/>
    <n v="0.93386376795353099"/>
    <n v="535.41"/>
    <s v="IT87"/>
    <s v="IT87-M-D1"/>
    <s v="PALF"/>
    <x v="3"/>
    <s v="CONGO"/>
    <m/>
    <m/>
    <m/>
  </r>
  <r>
    <x v="39"/>
    <s v="Taxi moto : Marché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0"/>
    <s v="Maison-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0"/>
    <s v="Bureau - Tour Nabemba (MEF)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0"/>
    <s v="Tour Nabemba - 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0"/>
    <s v="Bureau- 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0"/>
    <s v="Taxi domicile-poto poto,rencontre avec la cible"/>
    <s v="Transport local"/>
    <s v="Investigation"/>
    <n v="1500"/>
    <n v="2.8015913038605929"/>
    <n v="535.41"/>
    <s v="P29"/>
    <s v="P29-M-D1"/>
    <s v="PALF"/>
    <x v="3"/>
    <s v="CONGO"/>
    <m/>
    <m/>
    <m/>
  </r>
  <r>
    <x v="40"/>
    <s v="Taxi poto poto-mampassi,prospêction"/>
    <s v="Transport local"/>
    <s v="Investigation"/>
    <n v="1000"/>
    <n v="1.867727535907062"/>
    <n v="535.41"/>
    <s v="P29"/>
    <s v="P29-M-D1"/>
    <s v="PALF"/>
    <x v="3"/>
    <s v="CONGO"/>
    <m/>
    <m/>
    <m/>
  </r>
  <r>
    <x v="40"/>
    <s v="Taxi mapassi-ouenze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0"/>
    <s v="Taxi  ouenze-la tsieme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0"/>
    <s v="Taxi la tsieme-domicile"/>
    <s v="Transport local"/>
    <s v="Investigation"/>
    <n v="1500"/>
    <n v="2.8015913038605929"/>
    <n v="535.41"/>
    <s v="P29"/>
    <s v="P29-M-D1"/>
    <s v="PALF"/>
    <x v="3"/>
    <s v="CONGO"/>
    <m/>
    <m/>
    <m/>
  </r>
  <r>
    <x v="40"/>
    <s v="Achat boisson"/>
    <s v="Trust building"/>
    <s v="Investigation"/>
    <n v="1000"/>
    <n v="1.867727535907062"/>
    <n v="535.41"/>
    <s v="P29"/>
    <s v="P29-M-D5"/>
    <s v="PALF"/>
    <x v="3"/>
    <s v="CONGO"/>
    <m/>
    <m/>
    <m/>
  </r>
  <r>
    <x v="40"/>
    <s v="Taxi moto : gare routière - hotel Elonga (recherche hotel)"/>
    <s v="Transport local"/>
    <s v="Investigation"/>
    <n v="500"/>
    <n v="0.93386376795353099"/>
    <n v="535.41"/>
    <s v="T73"/>
    <s v="T73-M-D1"/>
    <s v="PALF"/>
    <x v="3"/>
    <s v="CONGO"/>
    <m/>
    <m/>
    <m/>
  </r>
  <r>
    <x v="40"/>
    <s v="Taxi moto : hotel Elonga - quartier centre (recherche hotel)"/>
    <s v="Transport local"/>
    <s v="Investigation"/>
    <n v="500"/>
    <n v="0.93386376795353099"/>
    <n v="535.41"/>
    <s v="T73"/>
    <s v="T73-M-D1"/>
    <s v="PALF"/>
    <x v="3"/>
    <s v="CONGO"/>
    <m/>
    <m/>
    <m/>
  </r>
  <r>
    <x v="40"/>
    <s v="Taxi moto : quartier centre - quartier bouta (recherche hotel)"/>
    <s v="Transport local"/>
    <s v="Investigation"/>
    <n v="500"/>
    <n v="0.93386376795353099"/>
    <n v="535.41"/>
    <s v="T73"/>
    <s v="T73-M-D1"/>
    <s v="PALF"/>
    <x v="3"/>
    <s v="CONGO"/>
    <m/>
    <m/>
    <m/>
  </r>
  <r>
    <x v="40"/>
    <s v="Taxi moto : quartier bouta - gare routièr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0"/>
    <s v="Taxi moto : gare routière - hotel elonda (fin de journée)"/>
    <s v="Transport local"/>
    <s v="Investigation"/>
    <n v="500"/>
    <n v="0.93386376795353099"/>
    <n v="535.41"/>
    <s v="T73"/>
    <s v="T73-M-D1"/>
    <s v="PALF"/>
    <x v="3"/>
    <s v="CONGO"/>
    <m/>
    <m/>
    <m/>
  </r>
  <r>
    <x v="40"/>
    <s v="IT87- CONGO Frais d'hôtel du 03 au 06/03/2026 à Etoumbi (03 nuitées)"/>
    <s v="Travel subsistence"/>
    <s v="Investigation"/>
    <n v="30000"/>
    <n v="56.031826077211861"/>
    <n v="535.41"/>
    <s v="IT87"/>
    <s v="IT87-M-R4"/>
    <s v="PALF"/>
    <x v="3"/>
    <s v="CONGO"/>
    <m/>
    <m/>
    <m/>
  </r>
  <r>
    <x v="40"/>
    <s v="Taxi moto : Hôtel - Parking/ Départ pour Makoua"/>
    <s v="Transport local"/>
    <s v="Investigation"/>
    <n v="500"/>
    <n v="0.93386376795353099"/>
    <n v="535.41"/>
    <s v="IT87"/>
    <s v="IT87-M-D1"/>
    <s v="PALF"/>
    <x v="3"/>
    <s v="CONGO"/>
    <m/>
    <m/>
    <m/>
  </r>
  <r>
    <x v="40"/>
    <s v="Achat billet Etoumbi - Makoua/ IT87"/>
    <s v="Transport Interurbain"/>
    <s v="Investigation"/>
    <n v="5000"/>
    <n v="9.3386376795353101"/>
    <n v="535.41"/>
    <s v="IT87"/>
    <s v="IT87-M-R5"/>
    <s v="PALF"/>
    <x v="3"/>
    <s v="CONGO"/>
    <m/>
    <m/>
    <m/>
  </r>
  <r>
    <x v="40"/>
    <s v="Taxi moto : Parking - Hôtel Louise/ Recherche d'hôtel"/>
    <s v="Transport local"/>
    <s v="Investigation"/>
    <n v="500"/>
    <n v="0.93386376795353099"/>
    <n v="535.41"/>
    <s v="IT87"/>
    <s v="IT87-M-D1"/>
    <s v="PALF"/>
    <x v="3"/>
    <s v="CONGO"/>
    <m/>
    <m/>
    <m/>
  </r>
  <r>
    <x v="40"/>
    <s v="Taxi moto : Hôtel Louise - Hôtel GESNA/ Recherche d'hôtel"/>
    <s v="Transport local"/>
    <s v="Investigation"/>
    <n v="500"/>
    <n v="0.93386376795353099"/>
    <n v="535.41"/>
    <s v="IT87"/>
    <s v="IT87-M-D1"/>
    <s v="PALF"/>
    <x v="3"/>
    <s v="CONGO"/>
    <m/>
    <m/>
    <m/>
  </r>
  <r>
    <x v="40"/>
    <s v="Taxi moto : Hôtel GESNA - Hôtel Emilienne/ Installation à Makoua"/>
    <s v="Transport local"/>
    <s v="Investigation"/>
    <n v="500"/>
    <n v="0.93386376795353099"/>
    <n v="535.41"/>
    <s v="IT87"/>
    <s v="IT87-M-D1"/>
    <s v="PALF"/>
    <x v="3"/>
    <s v="CONGO"/>
    <m/>
    <m/>
    <m/>
  </r>
  <r>
    <x v="40"/>
    <s v="Taxi moto : Hôtel - Rond point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0"/>
    <s v="Achat boissons avec une cible"/>
    <s v="Trust building"/>
    <s v="Investigation"/>
    <n v="1500"/>
    <n v="2.8015913038605929"/>
    <n v="535.41"/>
    <s v="IT87"/>
    <s v="IT87-M-D2"/>
    <s v="PALF"/>
    <x v="3"/>
    <s v="CONGO"/>
    <m/>
    <m/>
    <m/>
  </r>
  <r>
    <x v="40"/>
    <s v="Taxi moto : Rond point - Marché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0"/>
    <s v="Taxi moto : Marché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1"/>
    <s v="Taxi domicile_moungali,rencontre avec la cible"/>
    <s v="Transport local"/>
    <s v="Investigation"/>
    <n v="1500"/>
    <n v="2.8015913038605929"/>
    <n v="535.41"/>
    <s v="P29"/>
    <s v="P29-M-D1"/>
    <s v="PALF"/>
    <x v="3"/>
    <s v="CONGO"/>
    <m/>
    <m/>
    <m/>
  </r>
  <r>
    <x v="41"/>
    <s v="Taxi moungali-marché,extraction"/>
    <s v="Transport local"/>
    <s v="Investigation"/>
    <n v="1000"/>
    <n v="1.867727535907062"/>
    <n v="535.41"/>
    <s v="P29"/>
    <s v="P29-M-D1"/>
    <s v="PALF"/>
    <x v="3"/>
    <s v="CONGO"/>
    <m/>
    <m/>
    <m/>
  </r>
  <r>
    <x v="41"/>
    <s v="Taxi marchémoukondo,extraction"/>
    <s v="Transport local"/>
    <s v="Investigation"/>
    <n v="1000"/>
    <n v="1.867727535907062"/>
    <n v="535.41"/>
    <s v="P29"/>
    <s v="P29-M-D1"/>
    <s v="PALF"/>
    <x v="3"/>
    <s v="CONGO"/>
    <m/>
    <m/>
    <m/>
  </r>
  <r>
    <x v="41"/>
    <s v="Taxi moukondo-total,extraction"/>
    <s v="Transport local"/>
    <s v="Investigation"/>
    <n v="1000"/>
    <n v="1.867727535907062"/>
    <n v="535.41"/>
    <s v="P29"/>
    <s v="P29-M-D1"/>
    <s v="PALF"/>
    <x v="3"/>
    <s v="CONGO"/>
    <m/>
    <m/>
    <m/>
  </r>
  <r>
    <x v="41"/>
    <s v="Taxi total-domicile"/>
    <s v="Transport local"/>
    <s v="Investigation"/>
    <n v="1000"/>
    <n v="1.867727535907062"/>
    <n v="535.41"/>
    <s v="P29"/>
    <s v="P29-M-D1"/>
    <s v="PALF"/>
    <x v="3"/>
    <s v="CONGO"/>
    <m/>
    <m/>
    <m/>
  </r>
  <r>
    <x v="41"/>
    <s v="Achat boisson"/>
    <s v="Trust building"/>
    <s v="Investigation"/>
    <n v="6000"/>
    <n v="11.206365215442371"/>
    <n v="535.41"/>
    <s v="P29"/>
    <s v="P29-M-D5"/>
    <s v="PALF"/>
    <x v="3"/>
    <s v="CONGO"/>
    <m/>
    <m/>
    <m/>
  </r>
  <r>
    <x v="41"/>
    <s v="Taxi moto : hotel elonda  - marché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1"/>
    <s v="Taxi moto : marché - zone lycé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1"/>
    <s v="Taxi moto : zone lycée - zone hopital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1"/>
    <s v="Taxi moto : zone hopital - quartier ouenz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1"/>
    <s v="Taxi moto : quartier ouenze - agence transbony (réservation billet)"/>
    <s v="Transport local"/>
    <s v="Investigation"/>
    <n v="500"/>
    <n v="0.93386376795353099"/>
    <n v="535.41"/>
    <s v="T73"/>
    <s v="T73-M-D1"/>
    <s v="PALF"/>
    <x v="3"/>
    <s v="CONGO"/>
    <m/>
    <m/>
    <m/>
  </r>
  <r>
    <x v="41"/>
    <s v="Taxi moto : agence transbony - hotel (fin de journée)"/>
    <s v="Transport local"/>
    <s v="Investigation"/>
    <n v="500"/>
    <n v="0.93386376795353099"/>
    <n v="535.41"/>
    <s v="T73"/>
    <s v="T73-M-D1"/>
    <s v="PALF"/>
    <x v="3"/>
    <s v="CONGO"/>
    <m/>
    <m/>
    <m/>
  </r>
  <r>
    <x v="41"/>
    <s v="achat billet : Ewo - brazzaville /T73"/>
    <s v="Transport Interurbain"/>
    <s v="Investigation"/>
    <n v="12000"/>
    <n v="22.412730430884743"/>
    <n v="535.41"/>
    <s v="T73"/>
    <s v="T73-M-R6"/>
    <s v="PALF"/>
    <x v="3"/>
    <s v="CONGO"/>
    <m/>
    <m/>
    <m/>
  </r>
  <r>
    <x v="41"/>
    <s v="Achat boissons/ une cible"/>
    <s v="Trust building"/>
    <s v="Investigation"/>
    <n v="2000"/>
    <n v="3.735455071814124"/>
    <n v="535.41"/>
    <s v="T73"/>
    <s v="T73-M-D2"/>
    <s v="PALF"/>
    <x v="3"/>
    <s v="CONGO"/>
    <m/>
    <m/>
    <m/>
  </r>
  <r>
    <x v="41"/>
    <s v="Taxi moto : Hôtel - Zone E2C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1"/>
    <s v="Taxi moto : Zone E2C - Quartier Moussa Keita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1"/>
    <s v="Achat boissons avec une cible"/>
    <s v="Trust building"/>
    <s v="Investigation"/>
    <n v="2000"/>
    <n v="3.735455071814124"/>
    <n v="535.41"/>
    <s v="IT87"/>
    <s v="IT87-M-D2"/>
    <s v="PALF"/>
    <x v="3"/>
    <s v="CONGO"/>
    <m/>
    <m/>
    <m/>
  </r>
  <r>
    <x v="41"/>
    <s v="Taxi moto : Quartier Moussa Keita - Ohadé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1"/>
    <s v="Taxi moto : Ohadé - Agence Trans Bony/ Achat billet"/>
    <s v="Transport local"/>
    <s v="Investigation"/>
    <n v="500"/>
    <n v="0.93386376795353099"/>
    <n v="535.41"/>
    <s v="IT87"/>
    <s v="IT87-M-D1"/>
    <s v="PALF"/>
    <x v="3"/>
    <s v="CONGO"/>
    <m/>
    <m/>
    <m/>
  </r>
  <r>
    <x v="41"/>
    <s v="Taxi moto : Agence trans bony - Hôtel/ Retour du terrain"/>
    <s v="Transport local"/>
    <s v="Investigation"/>
    <n v="500"/>
    <n v="0.93386376795353099"/>
    <n v="535.41"/>
    <s v="IT87"/>
    <s v="IT87-M-D1"/>
    <s v="PALF"/>
    <x v="3"/>
    <s v="CONGO"/>
    <m/>
    <m/>
    <m/>
  </r>
  <r>
    <x v="42"/>
    <s v="T73 - CONGO Frais d'hotel du 06 au 08/03/2026 à Ewo (02Nuitées)"/>
    <s v="Travel subsistence"/>
    <s v="Investigation"/>
    <n v="20000"/>
    <n v="37.35455071814124"/>
    <n v="535.41"/>
    <s v="T73"/>
    <s v="T73-M-R7"/>
    <s v="PALF"/>
    <x v="3"/>
    <s v="CONGO"/>
    <m/>
    <m/>
    <m/>
  </r>
  <r>
    <x v="42"/>
    <s v="Taxi moto : hotel elonda - agence transbony (retour sur Brazzaville)"/>
    <s v="Transport local"/>
    <s v="Investigation"/>
    <n v="500"/>
    <n v="0.93386376795353099"/>
    <n v="535.41"/>
    <s v="T73"/>
    <s v="T73-M-D1"/>
    <s v="PALF"/>
    <x v="3"/>
    <s v="CONGO"/>
    <m/>
    <m/>
    <m/>
  </r>
  <r>
    <x v="42"/>
    <s v="Taxi moto : agence transbony - domicile (retour sur Brazzaville)"/>
    <s v="Transport local"/>
    <s v="Investigation"/>
    <n v="1000"/>
    <n v="1.867727535907062"/>
    <n v="535.41"/>
    <s v="T73"/>
    <s v="T73-M-D1"/>
    <s v="PALF"/>
    <x v="3"/>
    <s v="CONGO"/>
    <m/>
    <m/>
    <m/>
  </r>
  <r>
    <x v="42"/>
    <s v="IT87- CONGO Frais d'hôtel  du 06 au 08/03/2026 à Makoua (02 nuitées)"/>
    <s v="Travel subsistence"/>
    <s v="Investigation"/>
    <n v="20000"/>
    <n v="37.35455071814124"/>
    <n v="535.41"/>
    <s v="IT87"/>
    <s v="IT87-M-R6"/>
    <s v="PALF"/>
    <x v="3"/>
    <s v="CONGO"/>
    <m/>
    <m/>
    <m/>
  </r>
  <r>
    <x v="42"/>
    <s v="Taxi moto : Hôtel - Agence trans bony/ Départ pour Brazzaville"/>
    <s v="Transport local"/>
    <s v="Investigation"/>
    <n v="500"/>
    <n v="0.93386376795353099"/>
    <n v="535.41"/>
    <s v="IT87"/>
    <s v="IT87-M-D1"/>
    <s v="PALF"/>
    <x v="3"/>
    <s v="CONGO"/>
    <m/>
    <m/>
    <m/>
  </r>
  <r>
    <x v="42"/>
    <s v="Achat billet Makoua - Brazzaville/ IT87"/>
    <s v="Transport Interurbain"/>
    <s v="Investigation"/>
    <n v="8000"/>
    <n v="14.941820287256496"/>
    <n v="535.41"/>
    <s v="IT87"/>
    <s v="IT87-M-R7"/>
    <s v="PALF"/>
    <x v="3"/>
    <s v="CONGO"/>
    <m/>
    <m/>
    <m/>
  </r>
  <r>
    <x v="42"/>
    <s v="Taxi : Agence Trans bony - Domicile/ Arrivée à Brazzaville"/>
    <s v="Transport local"/>
    <s v="Investigation"/>
    <n v="2000"/>
    <n v="3.735455071814124"/>
    <n v="535.41"/>
    <s v="IT87"/>
    <s v="IT87-M-D1"/>
    <s v="PALF"/>
    <x v="3"/>
    <s v="CONGO"/>
    <m/>
    <m/>
    <m/>
  </r>
  <r>
    <x v="43"/>
    <s v="Maison- 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3"/>
    <s v="Maison-Bureau"/>
    <s v="Transport local"/>
    <s v="Management"/>
    <n v="1000"/>
    <n v="1.9054742621280678"/>
    <n v="524.80372990353703"/>
    <s v="DOVI"/>
    <s v="DH-M-D1"/>
    <s v="PALF"/>
    <x v="3"/>
    <s v="CONGO"/>
    <m/>
    <m/>
    <m/>
  </r>
  <r>
    <x v="43"/>
    <s v="Bureau - Ministere de la justice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3"/>
    <s v="Ministere de la Justice - 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3"/>
    <s v="Bureau- 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3"/>
    <s v="Paiement prime de fin d'année 2025/ Crépin"/>
    <s v="Personnel"/>
    <s v="Legal"/>
    <n v="154370"/>
    <n v="297.23639422524388"/>
    <n v="519.35093749999999"/>
    <s v="Crépin"/>
    <s v="CA-M-D3"/>
    <s v="PALF"/>
    <x v="3"/>
    <s v="CONGO"/>
    <m/>
    <m/>
    <m/>
  </r>
  <r>
    <x v="43"/>
    <s v="Paiement prime de fin d'année 2025/ Pafaite"/>
    <s v="Personnel"/>
    <s v="Office"/>
    <n v="68800"/>
    <n v="128.49965447040586"/>
    <n v="535.41"/>
    <s v="Parfaite"/>
    <s v="CA-M-D6"/>
    <s v="PALF"/>
    <x v="3"/>
    <s v="CONGO"/>
    <m/>
    <m/>
    <m/>
  </r>
  <r>
    <x v="43"/>
    <s v="Taxi:  Bureau-Banque BCI/Appro caisse et deport ordre de virement du mois de janvier et février 2026"/>
    <s v="Transport local"/>
    <s v="Office"/>
    <n v="1000"/>
    <n v="1.867727535907062"/>
    <n v="535.41"/>
    <s v="Parfaite"/>
    <s v="P-M-D1"/>
    <s v="PALF"/>
    <x v="3"/>
    <s v="CONGO"/>
    <m/>
    <m/>
    <m/>
  </r>
  <r>
    <x v="43"/>
    <s v="Taxi:  Banque BCI - Direction MTN/ Achat credit telephonique deuxième partie du mois de Mai 2025"/>
    <s v="Transport local"/>
    <s v="Office"/>
    <n v="1000"/>
    <n v="1.867727535907062"/>
    <n v="535.41"/>
    <s v="Parfaite"/>
    <s v="P-M-D1"/>
    <s v="PALF"/>
    <x v="3"/>
    <s v="CONGO"/>
    <m/>
    <m/>
    <m/>
  </r>
  <r>
    <x v="43"/>
    <s v="Taxi: Direction MTN- Bureau"/>
    <s v="Transport local"/>
    <s v="Office"/>
    <n v="1000"/>
    <n v="1.867727535907062"/>
    <n v="535.41"/>
    <s v="Parfaite"/>
    <s v="P-M-D1"/>
    <s v="PALF"/>
    <x v="3"/>
    <s v="CONGO"/>
    <m/>
    <m/>
    <m/>
  </r>
  <r>
    <x v="43"/>
    <s v="Credit teléphonique MTN PALF/ du 10 au 17 Mars 2026/Management/ Parfaite"/>
    <s v="Telephone"/>
    <s v="Management"/>
    <n v="5000"/>
    <n v="9.3386376795353101"/>
    <n v="535.41"/>
    <s v="Parfaite"/>
    <s v="P-M-R2"/>
    <s v="PALF"/>
    <x v="3"/>
    <s v="CONGO"/>
    <m/>
    <m/>
    <m/>
  </r>
  <r>
    <x v="43"/>
    <s v="Achat billet Brazzaville-dolisie"/>
    <s v="Transport Interurbain"/>
    <s v="Investigation"/>
    <n v="9000"/>
    <n v="16.809547823163559"/>
    <n v="535.41"/>
    <s v="P29"/>
    <s v="P29-M-R2"/>
    <s v="PALF"/>
    <x v="3"/>
    <s v="CONGO"/>
    <m/>
    <m/>
    <m/>
  </r>
  <r>
    <x v="43"/>
    <s v="Taxi : Bureau - Agence Ocean du nord/ Achat billet "/>
    <s v="Transport local"/>
    <s v="Investigation"/>
    <n v="1000"/>
    <n v="1.867727535907062"/>
    <n v="535.41"/>
    <s v="IT87"/>
    <s v="IT87-M-D1"/>
    <s v="PALF"/>
    <x v="3"/>
    <s v="CONGO"/>
    <m/>
    <m/>
    <m/>
  </r>
  <r>
    <x v="43"/>
    <s v="Taxi : Agence Ocean du nord - Domicile/ Retour d'achat billet"/>
    <s v="Transport local"/>
    <s v="Investigation"/>
    <n v="2000"/>
    <n v="3.735455071814124"/>
    <n v="535.41"/>
    <s v="IT87"/>
    <s v="IT87-M-D1"/>
    <s v="PALF"/>
    <x v="3"/>
    <s v="CONGO"/>
    <m/>
    <m/>
    <m/>
  </r>
  <r>
    <x v="43"/>
    <s v="Paiement prime de fin d'année 2025/ Abraham"/>
    <s v="Personnel"/>
    <s v="Legal"/>
    <n v="127070"/>
    <n v="237.33213798771035"/>
    <n v="535.41"/>
    <s v="Abraham"/>
    <s v="CA-M-D5"/>
    <s v="PALF"/>
    <x v="3"/>
    <s v="CONGO"/>
    <m/>
    <m/>
    <m/>
  </r>
  <r>
    <x v="43"/>
    <s v="Paiement prime de fin d'année 2025/Roderlin"/>
    <s v="Personnel"/>
    <s v="Legal"/>
    <n v="127070"/>
    <n v="237.33213798771035"/>
    <n v="535.41"/>
    <s v="Roderlin"/>
    <s v="CA-M-D4"/>
    <s v="PALF"/>
    <x v="3"/>
    <s v="CONGO"/>
    <m/>
    <m/>
    <m/>
  </r>
  <r>
    <x v="43"/>
    <s v="Paiement prime de fin d'année 2025/ Donald-Romeo"/>
    <s v="Personnel"/>
    <s v="Legal"/>
    <n v="127070"/>
    <n v="237.33213798771035"/>
    <n v="535.41"/>
    <s v="Donald-Romeo"/>
    <s v="CA-M-D2"/>
    <s v="PALF"/>
    <x v="3"/>
    <s v="CONGO"/>
    <m/>
    <m/>
    <m/>
  </r>
  <r>
    <x v="43"/>
    <s v="Paiement prime de fin d'année 2025/ Evariste"/>
    <s v="Personnel"/>
    <s v="Media"/>
    <n v="132280"/>
    <n v="247.06299844978616"/>
    <n v="535.41"/>
    <s v="Evariste"/>
    <s v="CA-M-D1"/>
    <s v="PALF"/>
    <x v="3"/>
    <s v="CONGO"/>
    <m/>
    <m/>
    <m/>
  </r>
  <r>
    <x v="43"/>
    <s v="Achat carburant groupe electrogène Bureau "/>
    <s v="Office Materiels"/>
    <s v="Office"/>
    <n v="62500"/>
    <n v="116.73297099419138"/>
    <n v="535.41"/>
    <s v="Romain"/>
    <s v="CA-M-R3"/>
    <s v="PALF"/>
    <x v="3"/>
    <s v="CONGO"/>
    <m/>
    <m/>
    <m/>
  </r>
  <r>
    <x v="43"/>
    <s v="Virement des fonds par la fondation Aspinall"/>
    <s v="Grant"/>
    <m/>
    <m/>
    <n v="0"/>
    <n v="535.41"/>
    <s v="BCI"/>
    <s v="BQ-M-G1"/>
    <s v="PALF"/>
    <x v="3"/>
    <s v="CONGO"/>
    <n v="32124589"/>
    <n v="60000"/>
    <m/>
  </r>
  <r>
    <x v="43"/>
    <s v="Paiement salaire du mois de Janvier 2026/LOUNDOU Jean Romain/3655242"/>
    <s v="Personnel"/>
    <s v="Legal"/>
    <n v="228800"/>
    <n v="427.33606021553578"/>
    <n v="535.41"/>
    <s v="BCI"/>
    <s v="BQ-M-R4"/>
    <s v="PALF"/>
    <x v="3"/>
    <s v="CONGO"/>
    <m/>
    <m/>
    <m/>
  </r>
  <r>
    <x v="43"/>
    <s v="Paiement salaire du mois de Janvier 2026/LOUNDOU Jean Romain/3655242"/>
    <s v="Personnel"/>
    <s v="Legal"/>
    <n v="228800"/>
    <n v="427.33606021553578"/>
    <n v="535.41"/>
    <s v="BCI"/>
    <s v="BQ-M-R5"/>
    <s v="PALF"/>
    <x v="3"/>
    <s v="CONGO"/>
    <m/>
    <m/>
    <m/>
  </r>
  <r>
    <x v="43"/>
    <s v="Paiement salaire du mois de Janvier 2026/Crepin IBOUILI-IBOUILI"/>
    <s v="Personnel"/>
    <s v="Legal"/>
    <n v="581764"/>
    <n v="1086.576642199436"/>
    <n v="535.41"/>
    <s v="BCI"/>
    <s v="BQ-M-R6"/>
    <s v="PALF"/>
    <x v="3"/>
    <s v="CONGO"/>
    <m/>
    <m/>
    <m/>
  </r>
  <r>
    <x v="43"/>
    <s v="Paiement salaire du mois de Janvier 2026/PINDI BINGA Donald- Roméo"/>
    <s v="Personnel"/>
    <s v="Legal"/>
    <n v="328800"/>
    <n v="614.10881380624198"/>
    <n v="535.41"/>
    <s v="BCI"/>
    <s v="BQ-M-R7"/>
    <s v="PALF"/>
    <x v="3"/>
    <s v="CONGO"/>
    <m/>
    <m/>
    <m/>
  </r>
  <r>
    <x v="43"/>
    <s v="Paiement salaire du mois de Janvier 2026/Evariste LELOUSSI"/>
    <s v="Personnel"/>
    <s v="Media"/>
    <n v="268210"/>
    <n v="500.94320240563309"/>
    <n v="535.41"/>
    <s v="BCI"/>
    <s v="BQ-M-R8"/>
    <s v="PALF"/>
    <x v="3"/>
    <s v="CONGO"/>
    <m/>
    <m/>
    <m/>
  </r>
  <r>
    <x v="43"/>
    <s v="Paiement salaire du mois de Février 2026/Crepin IBOUILI-IBOUILI"/>
    <s v="Personnel"/>
    <s v="Legal"/>
    <n v="581764"/>
    <n v="1086.576642199436"/>
    <n v="535.41"/>
    <s v="BCI"/>
    <s v="BQ-M-R9"/>
    <s v="PALF"/>
    <x v="3"/>
    <s v="CONGO"/>
    <m/>
    <m/>
    <m/>
  </r>
  <r>
    <x v="43"/>
    <s v="Paiement salaire du mois de Février 2026/PINDI BINGA Donald- Roméo"/>
    <s v="Personnel"/>
    <s v="Legal"/>
    <n v="328800"/>
    <n v="614.10881380624198"/>
    <n v="535.41"/>
    <s v="BCI"/>
    <s v="BQ-M-R10"/>
    <s v="PALF"/>
    <x v="3"/>
    <s v="CONGO"/>
    <m/>
    <m/>
    <m/>
  </r>
  <r>
    <x v="43"/>
    <s v="Paiement salaire du mois de Février 2026/Evariste LELOUSSI"/>
    <s v="Personnel"/>
    <s v="Media"/>
    <n v="268210"/>
    <n v="500.94320240563309"/>
    <n v="535.41"/>
    <s v="BCI"/>
    <s v="BQ-M-R11"/>
    <s v="PALF"/>
    <x v="3"/>
    <s v="CONGO"/>
    <m/>
    <m/>
    <m/>
  </r>
  <r>
    <x v="43"/>
    <s v="Reglement honoraire du mois de Janvier 2026/T73/3655244"/>
    <s v="Personnel"/>
    <s v="Investigation"/>
    <n v="255000"/>
    <n v="476.27052165630079"/>
    <n v="535.41"/>
    <s v="BCI"/>
    <s v="BQ-M-R12"/>
    <s v="PALF"/>
    <x v="3"/>
    <s v="CONGO"/>
    <m/>
    <m/>
    <m/>
  </r>
  <r>
    <x v="43"/>
    <s v="Reglement honoraire du mois de Février 2026/T73/3655244"/>
    <s v="Personnel"/>
    <s v="Investigation"/>
    <n v="255000"/>
    <n v="476.27052165630079"/>
    <n v="535.41"/>
    <s v="BCI"/>
    <s v="BQ-M-R13"/>
    <s v="PALF"/>
    <x v="3"/>
    <s v="CONGO"/>
    <m/>
    <m/>
    <m/>
  </r>
  <r>
    <x v="43"/>
    <s v="Reglement honoraire du mois de Janvier 2026/IT87/3655245"/>
    <s v="Personnel"/>
    <s v="Investigation"/>
    <n v="255000"/>
    <n v="476.27052165630079"/>
    <n v="535.41"/>
    <s v="BCI"/>
    <s v="BQ-M-R14"/>
    <s v="PALF"/>
    <x v="3"/>
    <s v="CONGO"/>
    <m/>
    <m/>
    <m/>
  </r>
  <r>
    <x v="43"/>
    <s v="Reglement honoraire du mois de Février 2026/IT87/3655245"/>
    <s v="Personnel"/>
    <s v="Investigation"/>
    <n v="255000"/>
    <n v="476.27052165630079"/>
    <n v="535.41"/>
    <s v="BCI"/>
    <s v="BQ-M-R15"/>
    <s v="PALF"/>
    <x v="3"/>
    <s v="CONGO"/>
    <m/>
    <m/>
    <m/>
  </r>
  <r>
    <x v="43"/>
    <s v="Reglement honoraire du mois de Janvier 2026/P29/3655246"/>
    <s v="Personnel"/>
    <s v="Investigation"/>
    <n v="400000"/>
    <n v="747.09101436282481"/>
    <n v="535.41"/>
    <s v="BCI"/>
    <s v="BQ-M-R16"/>
    <s v="PALF"/>
    <x v="3"/>
    <s v="CONGO"/>
    <m/>
    <m/>
    <m/>
  </r>
  <r>
    <x v="43"/>
    <s v="Reglement honoraire du 17 au 28 Février 2026/P29/3655246"/>
    <s v="Personnel"/>
    <s v="Investigation"/>
    <n v="157143"/>
    <n v="293.50030817504341"/>
    <n v="535.41"/>
    <s v="BCI"/>
    <s v="BQ-M-R17"/>
    <s v="PALF"/>
    <x v="3"/>
    <s v="CONGO"/>
    <m/>
    <m/>
    <m/>
  </r>
  <r>
    <x v="44"/>
    <s v="Maison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4"/>
    <s v="Credit telephonique MTN/PALF/ du 10 au 17 Mars 2026/ DOVI"/>
    <s v="Telephone"/>
    <s v="Management"/>
    <n v="10000"/>
    <n v="18.771635173931283"/>
    <n v="532.71864210781655"/>
    <s v="DOVI"/>
    <s v="DH-M-R3"/>
    <s v="PALF"/>
    <x v="3"/>
    <s v="CONGO"/>
    <m/>
    <m/>
    <m/>
  </r>
  <r>
    <x v="44"/>
    <s v="Bureau- 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4"/>
    <s v="Credit telephonique MTN PALF/du 10   au 17 Mars 2026/Legal/ crepin"/>
    <s v="Telephone"/>
    <s v="Legal"/>
    <n v="7500"/>
    <n v="14.007956519302965"/>
    <n v="535.41"/>
    <s v="Crépin"/>
    <s v="CR-M-R2"/>
    <s v="PALF"/>
    <x v="3"/>
    <s v="CONGO"/>
    <m/>
    <m/>
    <m/>
  </r>
  <r>
    <x v="44"/>
    <s v="P29 - CONGO Ration  du 10  au 17/03/2025 à dolisie,kimongo,ditadi(7 Nuitées)"/>
    <s v="Travel subsistence"/>
    <s v="Investigation"/>
    <n v="70000"/>
    <n v="130.74092751349434"/>
    <n v="535.41"/>
    <s v="P29"/>
    <s v="P29-M-D2"/>
    <s v="PALF"/>
    <x v="3"/>
    <s v="CONGO"/>
    <m/>
    <m/>
    <m/>
  </r>
  <r>
    <x v="44"/>
    <s v="Taxi domicile-agence,départ mission"/>
    <s v="Transport local"/>
    <s v="Investigation"/>
    <n v="1500"/>
    <n v="2.8015913038605929"/>
    <n v="535.41"/>
    <s v="P29"/>
    <s v="P29-M-D1"/>
    <s v="PALF"/>
    <x v="3"/>
    <s v="CONGO"/>
    <m/>
    <m/>
    <m/>
  </r>
  <r>
    <x v="44"/>
    <s v="Taxi agence-hotel"/>
    <s v="Transport local"/>
    <s v="Investigation"/>
    <n v="1000"/>
    <n v="1.867727535907062"/>
    <n v="535.41"/>
    <s v="P29"/>
    <s v="P29-M-D1"/>
    <s v="PALF"/>
    <x v="3"/>
    <s v="CONGO"/>
    <m/>
    <m/>
    <m/>
  </r>
  <r>
    <x v="44"/>
    <s v="Credit telephonique MTN PALF/ du 10  au 17 Mars 2026/ Investigation/P29"/>
    <s v="Telephone"/>
    <s v="Investigation"/>
    <n v="7500"/>
    <n v="14.007956519302965"/>
    <n v="535.41"/>
    <s v="P29"/>
    <s v="P29-M-R3"/>
    <s v="PALF"/>
    <x v="3"/>
    <s v="CONGO"/>
    <m/>
    <m/>
    <m/>
  </r>
  <r>
    <x v="44"/>
    <s v="Taxi : domicile - zone PSP"/>
    <s v="Transport local"/>
    <s v="Investigation"/>
    <n v="1000"/>
    <n v="1.867727535907062"/>
    <n v="535.41"/>
    <s v="T73"/>
    <s v="T73-M-D1"/>
    <s v="PALF"/>
    <x v="3"/>
    <s v="CONGO"/>
    <m/>
    <m/>
    <m/>
  </r>
  <r>
    <x v="44"/>
    <s v="Taxi : zone PSP - centre ville"/>
    <s v="Transport local"/>
    <s v="Investigation"/>
    <n v="1000"/>
    <n v="1.867727535907062"/>
    <n v="535.41"/>
    <s v="T73"/>
    <s v="T73-M-D1"/>
    <s v="PALF"/>
    <x v="3"/>
    <s v="CONGO"/>
    <m/>
    <m/>
    <m/>
  </r>
  <r>
    <x v="44"/>
    <s v="Taxi : centre ville - parc zologique"/>
    <s v="Transport local"/>
    <s v="Investigation"/>
    <n v="1000"/>
    <n v="1.867727535907062"/>
    <n v="535.41"/>
    <s v="T73"/>
    <s v="T73-M-D1"/>
    <s v="PALF"/>
    <x v="3"/>
    <s v="CONGO"/>
    <m/>
    <m/>
    <m/>
  </r>
  <r>
    <x v="44"/>
    <s v="Taxi : parc zologique - domicile"/>
    <s v="Transport local"/>
    <s v="Investigation"/>
    <n v="1000"/>
    <n v="1.867727535907062"/>
    <n v="535.41"/>
    <s v="T73"/>
    <s v="T73-M-D1"/>
    <s v="PALF"/>
    <x v="3"/>
    <s v="CONGO"/>
    <m/>
    <m/>
    <m/>
  </r>
  <r>
    <x v="44"/>
    <s v="Credit telephonique MTN PALF/ du 10 au 17 Mars 2026/ Investigation/T73"/>
    <s v="Telephone"/>
    <s v="Investigation"/>
    <n v="7500"/>
    <n v="14.007956519302965"/>
    <n v="535.41"/>
    <s v="T73"/>
    <s v="T73-M-R8"/>
    <s v="PALF"/>
    <x v="3"/>
    <s v="CONGO"/>
    <m/>
    <m/>
    <m/>
  </r>
  <r>
    <x v="44"/>
    <s v="Achat billet: Brazzaville - Ouesso/ T73"/>
    <s v="Transport Interurbain"/>
    <s v="Investigation"/>
    <n v="12000"/>
    <n v="22.412730430884743"/>
    <n v="535.41"/>
    <s v="T73"/>
    <s v="T73-M-R9"/>
    <s v="PALF"/>
    <x v="3"/>
    <s v="CONGO"/>
    <m/>
    <m/>
    <m/>
  </r>
  <r>
    <x v="44"/>
    <s v="Achat boisson /trois cibles"/>
    <s v="Trust building"/>
    <s v="Investigation"/>
    <n v="5500"/>
    <n v="10.272501447488841"/>
    <n v="535.41"/>
    <s v="T73"/>
    <s v="T73-M-D2"/>
    <s v="PALF"/>
    <x v="3"/>
    <s v="CONGO"/>
    <m/>
    <m/>
    <m/>
  </r>
  <r>
    <x v="44"/>
    <s v="IT87- CONGO Ration du 10 au 17/03/2026 à Sibiti, Zanaga et Loudima"/>
    <s v="Travel subsistence"/>
    <s v="Investigation"/>
    <n v="70000"/>
    <n v="130.74092751349434"/>
    <n v="535.41"/>
    <s v="IT87"/>
    <s v="IT87-M-D4"/>
    <s v="PALF"/>
    <x v="3"/>
    <s v="CONGO"/>
    <m/>
    <m/>
    <m/>
  </r>
  <r>
    <x v="44"/>
    <s v="Taxi : Domicile - Agence Ocean du nord Moungali"/>
    <s v="Transport local"/>
    <s v="Investigation"/>
    <n v="2000"/>
    <n v="3.735455071814124"/>
    <n v="535.41"/>
    <s v="IT87"/>
    <s v="IT87-M-D1"/>
    <s v="PALF"/>
    <x v="3"/>
    <s v="CONGO"/>
    <m/>
    <m/>
    <m/>
  </r>
  <r>
    <x v="44"/>
    <s v="Achat billet Brazzaville - Sibiti/ IT87"/>
    <s v="Transport Interurbain"/>
    <s v="Investigation"/>
    <n v="9000"/>
    <n v="16.809547823163559"/>
    <n v="535.41"/>
    <s v="IT87"/>
    <s v="IT87-M-R8"/>
    <s v="PALF"/>
    <x v="3"/>
    <s v="CONGO"/>
    <m/>
    <m/>
    <m/>
  </r>
  <r>
    <x v="44"/>
    <s v="Taxi moto : Agence Ocean du nord - Hôtel Papyrus/ Arrivé à Sibiti"/>
    <s v="Transport local"/>
    <s v="Investigation"/>
    <n v="400"/>
    <n v="0.74709101436282477"/>
    <n v="535.41"/>
    <s v="IT87"/>
    <s v="IT87-M-D1"/>
    <s v="PALF"/>
    <x v="3"/>
    <s v="CONGO"/>
    <m/>
    <m/>
    <m/>
  </r>
  <r>
    <x v="44"/>
    <s v="Credit telephonique MTN PALF/du 10 au 17 Mars 2026/Investigation/IT87"/>
    <s v="Telephone"/>
    <s v="Investigation"/>
    <n v="7500"/>
    <n v="14.007956519302965"/>
    <n v="535.41"/>
    <s v="IT87"/>
    <s v="IT87-M-R9"/>
    <s v="PALF"/>
    <x v="3"/>
    <s v="CONGO"/>
    <m/>
    <m/>
    <m/>
  </r>
  <r>
    <x v="44"/>
    <s v="Taxi Bureau- ACFAP/ Deposer les rapports annuels"/>
    <s v="Transport local"/>
    <s v="Legal"/>
    <n v="1000"/>
    <n v="1.867727535907062"/>
    <n v="535.41"/>
    <s v="Donald-Romeo"/>
    <s v="DR-M-D1"/>
    <s v="PALF"/>
    <x v="3"/>
    <s v="CONGO"/>
    <m/>
    <m/>
    <m/>
  </r>
  <r>
    <x v="44"/>
    <s v="Taxi ACFAP-Bureau"/>
    <s v="Transport local"/>
    <s v="Legal"/>
    <n v="1000"/>
    <n v="1.867727535907062"/>
    <n v="535.41"/>
    <s v="Donald-Romeo"/>
    <s v="DR-M-D1"/>
    <s v="PALF"/>
    <x v="3"/>
    <s v="CONGO"/>
    <m/>
    <m/>
    <m/>
  </r>
  <r>
    <x v="44"/>
    <s v="Taxi Bureau- ACFAP/ Deposer les rapports annuels après les observations"/>
    <s v="Transport local"/>
    <s v="Legal"/>
    <n v="1000"/>
    <n v="1.867727535907062"/>
    <n v="535.41"/>
    <s v="Donald-Romeo"/>
    <s v="DR-M-D1"/>
    <s v="PALF"/>
    <x v="3"/>
    <s v="CONGO"/>
    <m/>
    <m/>
    <m/>
  </r>
  <r>
    <x v="44"/>
    <s v="Taxi ACFAP-Bureau"/>
    <s v="Transport local"/>
    <s v="Legal"/>
    <n v="1000"/>
    <n v="1.867727535907062"/>
    <n v="535.41"/>
    <s v="Donald-Romeo"/>
    <s v="DR-M-D1"/>
    <s v="PALF"/>
    <x v="3"/>
    <s v="CONGO"/>
    <m/>
    <m/>
    <m/>
  </r>
  <r>
    <x v="44"/>
    <s v="Credit telephonique MTN PALF/ du 10 au 17 Mars 2026/Legal//Donald-Roméo"/>
    <s v="Telephone"/>
    <s v="Legal"/>
    <n v="7500"/>
    <n v="14.007956519302965"/>
    <n v="535.41"/>
    <s v="Donald-Romeo"/>
    <s v="DR-M-R2"/>
    <s v="PALF"/>
    <x v="3"/>
    <s v="CONGO"/>
    <m/>
    <m/>
    <m/>
  </r>
  <r>
    <x v="44"/>
    <s v="Credit telephonique MTN PALF/du 10 au 17 Mars 2026/Evariste/ Evariste"/>
    <s v="Telephone"/>
    <s v="Media"/>
    <n v="7500"/>
    <n v="14.007956519302965"/>
    <n v="535.41"/>
    <s v="Evariste"/>
    <s v="EV-M-R2"/>
    <s v="PALF"/>
    <x v="3"/>
    <s v="CONGO"/>
    <m/>
    <m/>
    <m/>
  </r>
  <r>
    <x v="44"/>
    <s v="Credit telephonique MTN PALF/du 10 au 17 Mars 2026/Legal/Romain"/>
    <s v="Telephone"/>
    <s v="Legal"/>
    <n v="5000"/>
    <n v="9.3386376795353101"/>
    <n v="535.41"/>
    <s v="Romain"/>
    <s v="RM-M-R2"/>
    <s v="PALF"/>
    <x v="3"/>
    <s v="CONGO"/>
    <m/>
    <m/>
    <m/>
  </r>
  <r>
    <x v="44"/>
    <s v="Solde du dernier acompte  sur  salaire du mois de décembre 2025/Homéfa DOVI/3655249"/>
    <s v="Personnel"/>
    <s v="Management"/>
    <n v="700000"/>
    <n v="1307.4092751349433"/>
    <n v="535.41"/>
    <s v="BCI"/>
    <s v="BQ-M-R18"/>
    <s v="PALF"/>
    <x v="3"/>
    <s v="CONGO"/>
    <m/>
    <m/>
    <m/>
  </r>
  <r>
    <x v="44"/>
    <s v="Paiement salaire du mois de Janvier 2026/Homéfa DOVI/3655249"/>
    <s v="Personnel"/>
    <s v="Management"/>
    <n v="1311000"/>
    <n v="2448.5907995741582"/>
    <n v="535.41"/>
    <s v="BCI"/>
    <s v="BQ-M-R19"/>
    <s v="PALF"/>
    <x v="3"/>
    <s v="CONGO"/>
    <m/>
    <m/>
    <m/>
  </r>
  <r>
    <x v="44"/>
    <s v="Paiement salaire du mois de Janvier 2026/Homéfa DOVI/3655249"/>
    <s v="Personnel"/>
    <s v="Management"/>
    <n v="1311000"/>
    <n v="2448.5907995741582"/>
    <n v="535.41"/>
    <s v="BCI"/>
    <s v="BQ-M-R20"/>
    <s v="PALF"/>
    <x v="3"/>
    <s v="CONGO"/>
    <m/>
    <m/>
    <m/>
  </r>
  <r>
    <x v="44"/>
    <s v="Paiement salaire du mois de Janvier 2026/BAVOUMINA NZOUSSI Dina Parfaite/3655248"/>
    <s v="Personnel"/>
    <s v="Office"/>
    <n v="258800"/>
    <n v="483.36788629274764"/>
    <n v="535.41"/>
    <s v="BCI"/>
    <s v="BQ-M-R21"/>
    <s v="PALF"/>
    <x v="3"/>
    <s v="CONGO"/>
    <m/>
    <m/>
    <m/>
  </r>
  <r>
    <x v="44"/>
    <s v="Paiement salaire du mois de Février 2026 fin du premier contrat et congé/BAVOUMINA NZOUSSI Dina Parfaite/3655248"/>
    <s v="Personnel"/>
    <s v="Office"/>
    <n v="274914"/>
    <n v="513.46444780635409"/>
    <n v="535.41"/>
    <s v="BCI"/>
    <s v="BQ-M-R22"/>
    <s v="PALF"/>
    <x v="3"/>
    <s v="CONGO"/>
    <m/>
    <m/>
    <m/>
  </r>
  <r>
    <x v="44"/>
    <s v="Paiement salaire du mois de Février 2026 nouveau contrat/BAVOUMINA NZOUSSI Dina Parfaite/3655248"/>
    <s v="Personnel"/>
    <s v="Office"/>
    <n v="187886"/>
    <n v="350.91985581143427"/>
    <n v="535.41"/>
    <s v="BCI"/>
    <s v="BQ-M-R23"/>
    <s v="PALF"/>
    <x v="3"/>
    <s v="CONGO"/>
    <m/>
    <m/>
    <m/>
  </r>
  <r>
    <x v="44"/>
    <s v="Paiement Honoraire Me LOCKO/Mois de décembre 2025 /3655252"/>
    <s v="Lawyer Fees"/>
    <s v="Legal"/>
    <n v="150000"/>
    <n v="280.1591303860593"/>
    <n v="535.41"/>
    <s v="BCI"/>
    <s v="BQ-M-R24"/>
    <s v="PALF"/>
    <x v="3"/>
    <s v="CONGO"/>
    <m/>
    <m/>
    <m/>
  </r>
  <r>
    <x v="44"/>
    <s v="Paiement Honoraire Me LOCKO/Mois de Janvier 2026 /3655252"/>
    <s v="Lawyer Fees"/>
    <s v="Legal"/>
    <n v="150000"/>
    <n v="280.1591303860593"/>
    <n v="535.41"/>
    <s v="BCI"/>
    <s v="BQ-M-R25"/>
    <s v="PALF"/>
    <x v="3"/>
    <s v="CONGO"/>
    <m/>
    <m/>
    <m/>
  </r>
  <r>
    <x v="44"/>
    <s v="Paiement Honoraire Me LOCKO/Mois de Février 2026 /3655252"/>
    <s v="Lawyer Fees"/>
    <s v="Legal"/>
    <n v="150000"/>
    <n v="280.1591303860593"/>
    <n v="535.41"/>
    <s v="BCI"/>
    <s v="BQ-M-R26"/>
    <s v="PALF"/>
    <x v="3"/>
    <s v="CONGO"/>
    <m/>
    <m/>
    <m/>
  </r>
  <r>
    <x v="44"/>
    <s v="Reglement Facture Gardiennage Mois de Février 2026/3655251"/>
    <s v="Services"/>
    <s v="Office"/>
    <n v="260000"/>
    <n v="485.60915933583613"/>
    <n v="535.41"/>
    <s v="BCI"/>
    <s v="BQ-M-R27"/>
    <s v="PALF"/>
    <x v="3"/>
    <s v="CONGO"/>
    <m/>
    <m/>
    <m/>
  </r>
  <r>
    <x v="44"/>
    <s v="Reglement loyer du mois de Février 2026/3655250"/>
    <s v="Rent &amp; Utilities"/>
    <s v="Office"/>
    <n v="500000"/>
    <n v="933.86376795353101"/>
    <n v="535.41"/>
    <s v="BCI"/>
    <s v="BQ-M-R28"/>
    <s v="PALF"/>
    <x v="3"/>
    <s v="CONGO"/>
    <m/>
    <m/>
    <m/>
  </r>
  <r>
    <x v="44"/>
    <s v="Frais de virement salaire du mois de Janvier 2026"/>
    <s v="Bank fees"/>
    <s v="Office"/>
    <n v="10665"/>
    <n v="19.919314170448818"/>
    <n v="535.41"/>
    <s v="BCI"/>
    <s v="BQ-M-R29"/>
    <s v="PALF"/>
    <x v="3"/>
    <s v="CONGO"/>
    <m/>
    <m/>
    <m/>
  </r>
  <r>
    <x v="44"/>
    <s v="Frais de virement salaire du mois de Février 2026"/>
    <s v="Bank fees"/>
    <s v="Office"/>
    <n v="10665"/>
    <n v="19.919314170448818"/>
    <n v="535.41"/>
    <s v="BCI"/>
    <s v="BQ-M-R30"/>
    <s v="PALF"/>
    <x v="3"/>
    <s v="CONGO"/>
    <m/>
    <m/>
    <m/>
  </r>
  <r>
    <x v="45"/>
    <s v="Maison-DGEF"/>
    <s v="Transport local"/>
    <s v="Management"/>
    <n v="500"/>
    <n v="0.93858175869656413"/>
    <n v="532.71864210781655"/>
    <s v="DOVI"/>
    <s v="DH-M-D1"/>
    <s v="PALF"/>
    <x v="3"/>
    <s v="CONGO"/>
    <m/>
    <m/>
    <m/>
  </r>
  <r>
    <x v="45"/>
    <s v="Bureau-Ministere de la Justice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5"/>
    <s v="Ministere de la Justice - 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5"/>
    <s v="Bureau - Parc Zoologique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5"/>
    <s v="Parc Zoologique - Maison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5"/>
    <s v="Reglement prestation de nettoyage  PALF du mois de Février 2026"/>
    <s v="Services"/>
    <s v="Office"/>
    <n v="80000"/>
    <n v="149.41820287256496"/>
    <n v="535.41"/>
    <s v="Parfaite"/>
    <s v="CA-M-R5"/>
    <s v="PALF"/>
    <x v="3"/>
    <s v="CONGO"/>
    <m/>
    <m/>
    <m/>
  </r>
  <r>
    <x v="45"/>
    <s v="Taxi hotel-fatima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5"/>
    <s v="Taxi fatima-bounda,prospection"/>
    <s v="Transport local"/>
    <s v="Investigation"/>
    <n v="1500"/>
    <n v="2.8015913038605929"/>
    <n v="535.41"/>
    <s v="P29"/>
    <s v="P29-M-D1"/>
    <s v="PALF"/>
    <x v="3"/>
    <s v="CONGO"/>
    <m/>
    <m/>
    <m/>
  </r>
  <r>
    <x v="45"/>
    <s v="Taxi bounda-cf,retrait des fonds"/>
    <s v="Transport local"/>
    <s v="Investigation"/>
    <n v="1500"/>
    <n v="2.8015913038605929"/>
    <n v="535.41"/>
    <s v="P29"/>
    <s v="P29-M-D1"/>
    <s v="PALF"/>
    <x v="3"/>
    <s v="CONGO"/>
    <m/>
    <m/>
    <m/>
  </r>
  <r>
    <x v="45"/>
    <s v="Taxi cf-sab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5"/>
    <s v="Taxi sab-hotel"/>
    <s v="Transport local"/>
    <s v="Investigation"/>
    <n v="1000"/>
    <n v="1.867727535907062"/>
    <n v="535.41"/>
    <s v="P29"/>
    <s v="P29-M-D1"/>
    <s v="PALF"/>
    <x v="3"/>
    <s v="CONGO"/>
    <m/>
    <m/>
    <m/>
  </r>
  <r>
    <x v="45"/>
    <s v="Achat boisson "/>
    <s v="Trust building"/>
    <s v="Investigation"/>
    <n v="2000"/>
    <n v="3.735455071814124"/>
    <n v="535.41"/>
    <s v="P29"/>
    <s v="P29-M-D5"/>
    <s v="PALF"/>
    <x v="3"/>
    <s v="CONGO"/>
    <m/>
    <m/>
    <m/>
  </r>
  <r>
    <x v="45"/>
    <s v="T73- CONGO Ration du 11/03/2026 au 05/04/2026 à Ouesso; Pokola et Mboua (25 Nuitées)"/>
    <s v="Travel subsistence"/>
    <s v="Investigation"/>
    <n v="250000"/>
    <n v="466.9318839767655"/>
    <n v="535.41"/>
    <s v="T73"/>
    <s v="T73-M-D3"/>
    <s v="PALF"/>
    <x v="3"/>
    <s v="CONGO"/>
    <m/>
    <m/>
    <m/>
  </r>
  <r>
    <x v="45"/>
    <s v="Taxi : domicile - agence transbony ( départ pour Ouesso)"/>
    <s v="Transport local"/>
    <s v="Investigation"/>
    <n v="1000"/>
    <n v="1.867727535907062"/>
    <n v="535.41"/>
    <s v="T73"/>
    <s v="T73-M-D1"/>
    <s v="PALF"/>
    <x v="3"/>
    <s v="CONGO"/>
    <m/>
    <m/>
    <m/>
  </r>
  <r>
    <x v="45"/>
    <s v="Taxi : agence transbony  - hotel"/>
    <s v="Transport local"/>
    <s v="Investigation"/>
    <n v="500"/>
    <n v="0.93386376795353099"/>
    <n v="535.41"/>
    <s v="T73"/>
    <s v="T73-M-D1"/>
    <s v="PALF"/>
    <x v="3"/>
    <s v="CONGO"/>
    <m/>
    <m/>
    <m/>
  </r>
  <r>
    <x v="45"/>
    <s v="Taxi moto : Hôtel - Place rouge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5"/>
    <s v="Taxi moto : Place rouge - Charden Farel/ Retrait du budget"/>
    <s v="Transport local"/>
    <s v="Investigation"/>
    <n v="400"/>
    <n v="0.74709101436282477"/>
    <n v="535.41"/>
    <s v="IT87"/>
    <s v="IT87-M-D1"/>
    <s v="PALF"/>
    <x v="3"/>
    <s v="CONGO"/>
    <m/>
    <m/>
    <m/>
  </r>
  <r>
    <x v="45"/>
    <s v="Taxi moto : Charden Farel - Stade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5"/>
    <s v="Taxi moto : Stade - Boulevard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5"/>
    <s v="Taxi moto : Boulevard - Place rouge/ Rendez-vous avec les cibles"/>
    <s v="Transport local"/>
    <s v="Investigation"/>
    <n v="400"/>
    <n v="0.74709101436282477"/>
    <n v="535.41"/>
    <s v="IT87"/>
    <s v="IT87-M-D1"/>
    <s v="PALF"/>
    <x v="3"/>
    <s v="CONGO"/>
    <m/>
    <m/>
    <m/>
  </r>
  <r>
    <x v="45"/>
    <s v="Achat boissons avec 04 cibles"/>
    <s v="Trust building"/>
    <s v="Investigation"/>
    <n v="5500"/>
    <n v="10.272501447488841"/>
    <n v="535.41"/>
    <s v="IT87"/>
    <s v="IT87-M-D2"/>
    <s v="PALF"/>
    <x v="3"/>
    <s v="CONGO"/>
    <m/>
    <m/>
    <m/>
  </r>
  <r>
    <x v="45"/>
    <s v="Taxi moto : Place rouge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5"/>
    <s v="Frais de tansfert d'argent  à P29, et IT87 par cf"/>
    <s v="Transfert fees"/>
    <s v="Office"/>
    <n v="6180"/>
    <n v="11.542556171905643"/>
    <n v="535.41"/>
    <s v="Romain"/>
    <s v="CA-M-R4"/>
    <s v="PALF"/>
    <x v="3"/>
    <s v="CONGO"/>
    <m/>
    <m/>
    <m/>
  </r>
  <r>
    <x v="45"/>
    <s v="Taxi: Burau-Charden Farell"/>
    <s v="Transport local"/>
    <s v="Legal"/>
    <n v="500"/>
    <n v="0.93386376795353099"/>
    <n v="535.41"/>
    <s v="Romain"/>
    <s v="RM-M-D1"/>
    <s v="PALF"/>
    <x v="3"/>
    <s v="CONGO"/>
    <m/>
    <m/>
    <m/>
  </r>
  <r>
    <x v="45"/>
    <s v="Taxi: Charden Farell-Bureau"/>
    <s v="Transport local"/>
    <s v="Legal"/>
    <n v="500"/>
    <n v="0.93386376795353099"/>
    <n v="535.41"/>
    <s v="Romain"/>
    <s v="RM-M-D1"/>
    <s v="PALF"/>
    <x v="3"/>
    <s v="CONGO"/>
    <m/>
    <m/>
    <m/>
  </r>
  <r>
    <x v="46"/>
    <s v="Maison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6"/>
    <s v="Bureau-Parc Zoologique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6"/>
    <s v="Parc Zoologique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6"/>
    <s v="Bureau-Maison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6"/>
    <s v="Taxi:  Domicile- Société de gardiennage (PGS) /remise de chèque du mois de Janvier 2026"/>
    <s v="Transport local"/>
    <s v="Office"/>
    <n v="1000"/>
    <n v="1.867727535907062"/>
    <n v="535.41"/>
    <s v="Parfaite"/>
    <s v="P-M-D1"/>
    <s v="PALF"/>
    <x v="3"/>
    <s v="CONGO"/>
    <m/>
    <m/>
    <m/>
  </r>
  <r>
    <x v="46"/>
    <s v="Taxi:  Societé de gardiennage  - Bureau"/>
    <s v="Transport local"/>
    <s v="Office"/>
    <n v="1000"/>
    <n v="1.867727535907062"/>
    <n v="535.41"/>
    <s v="Parfaite"/>
    <s v="P-M-D1"/>
    <s v="PALF"/>
    <x v="3"/>
    <s v="CONGO"/>
    <m/>
    <m/>
    <m/>
  </r>
  <r>
    <x v="46"/>
    <s v="Taxi: Bureau -Banque BCI/ Rétrait espèces banque, appro caisse"/>
    <s v="Transport local"/>
    <s v="Office"/>
    <n v="1000"/>
    <n v="1.867727535907062"/>
    <n v="535.41"/>
    <s v="Parfaite"/>
    <s v="P-M-D1"/>
    <s v="PALF"/>
    <x v="3"/>
    <s v="CONGO"/>
    <m/>
    <m/>
    <m/>
  </r>
  <r>
    <x v="46"/>
    <s v="Taxi: Banque BCI-Bureau"/>
    <s v="Transport local"/>
    <s v="Office"/>
    <n v="1000"/>
    <n v="1.867727535907062"/>
    <n v="535.41"/>
    <s v="Parfaite"/>
    <s v="P-M-D1"/>
    <s v="PALF"/>
    <x v="3"/>
    <s v="CONGO"/>
    <m/>
    <m/>
    <m/>
  </r>
  <r>
    <x v="46"/>
    <s v="Taxi hotel-grand marché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6"/>
    <s v="Taxi grand marché-4 points cardinaux,prospection"/>
    <s v="Transport local"/>
    <s v="Investigation"/>
    <n v="1500"/>
    <n v="2.8015913038605929"/>
    <n v="535.41"/>
    <s v="P29"/>
    <s v="P29-M-D1"/>
    <s v="PALF"/>
    <x v="3"/>
    <s v="CONGO"/>
    <m/>
    <m/>
    <m/>
  </r>
  <r>
    <x v="46"/>
    <s v="Taxi 4 points cardinaux-mon fleury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6"/>
    <s v="Taxi mon fleury-capable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6"/>
    <s v="Taxi capable-hotel"/>
    <s v="Transport local"/>
    <s v="Investigation"/>
    <n v="1000"/>
    <n v="1.867727535907062"/>
    <n v="535.41"/>
    <s v="P29"/>
    <s v="P29-M-D1"/>
    <s v="PALF"/>
    <x v="3"/>
    <s v="CONGO"/>
    <m/>
    <m/>
    <m/>
  </r>
  <r>
    <x v="46"/>
    <s v="Achat boisson "/>
    <s v="Trust building"/>
    <s v="Investigation"/>
    <n v="2000"/>
    <n v="3.735455071814124"/>
    <n v="535.41"/>
    <s v="P29"/>
    <s v="P29-M-D5"/>
    <s v="PALF"/>
    <x v="3"/>
    <s v="CONGO"/>
    <m/>
    <m/>
    <m/>
  </r>
  <r>
    <x v="46"/>
    <s v="T73 - CONGO Frais d'hotel du 11 au 12/03/2026 à Ouesso (01Nuitée)"/>
    <s v="Travel subsistence"/>
    <s v="Investigation"/>
    <n v="10000"/>
    <n v="18.67727535907062"/>
    <n v="535.41"/>
    <s v="T73"/>
    <s v="T73-M-R10"/>
    <s v="PALF"/>
    <x v="3"/>
    <s v="CONGO"/>
    <m/>
    <m/>
    <m/>
  </r>
  <r>
    <x v="46"/>
    <s v="Taxi : hotel - port (départ pour Pokola)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Achat billet : Ouesso - pokola/T73"/>
    <s v="Transport Interurbain"/>
    <s v="Investigation"/>
    <n v="2000"/>
    <n v="3.735455071814124"/>
    <n v="535.41"/>
    <s v="T73"/>
    <s v="T73-M-R11"/>
    <s v="PALF"/>
    <x v="3"/>
    <s v="CONGO"/>
    <m/>
    <m/>
    <m/>
  </r>
  <r>
    <x v="46"/>
    <s v="Traverser rivière sangha"/>
    <s v="Transport local"/>
    <s v="Investigation"/>
    <n v="1000"/>
    <n v="1.867727535907062"/>
    <n v="535.41"/>
    <s v="T73"/>
    <s v="T73-M-D1"/>
    <s v="PALF"/>
    <x v="3"/>
    <s v="CONGO"/>
    <m/>
    <m/>
    <m/>
  </r>
  <r>
    <x v="46"/>
    <s v="Taxi moto : gare routière - Hotel 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Taxi moto : Hotel - zone CIB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Taxi moto : zone CIB - marché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Taxi moto : marché - quartier centre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Taxi moto : quartier centre - charden farel (recuperer fond)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Taxi moto : charden farel - quartier centre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Taxi moto : quartier centre - hotel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Achat boissons/ une cible"/>
    <s v="Trust building"/>
    <s v="Investigation"/>
    <n v="2000"/>
    <n v="3.735455071814124"/>
    <n v="535.41"/>
    <s v="T73"/>
    <s v="T73-M-D2"/>
    <s v="PALF"/>
    <x v="3"/>
    <s v="CONGO"/>
    <m/>
    <m/>
    <m/>
  </r>
  <r>
    <x v="46"/>
    <s v="Taxi moto : Hôtel - Quartier la gare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6"/>
    <s v="Taxi moto : La gare - Mabombo/ Prospection"/>
    <s v="Transport local"/>
    <s v="Investigation"/>
    <n v="400"/>
    <n v="0.74709101436282477"/>
    <n v="535.41"/>
    <s v="IT87"/>
    <s v="IT87-M-D1"/>
    <s v="PALF"/>
    <x v="3"/>
    <s v="CONGO"/>
    <m/>
    <m/>
    <m/>
  </r>
  <r>
    <x v="46"/>
    <s v="Achat boissons avec une cible"/>
    <s v="Trust building"/>
    <s v="Investigation"/>
    <n v="1650"/>
    <n v="3.0817504342466524"/>
    <n v="535.41"/>
    <s v="IT87"/>
    <s v="IT87-M-D2"/>
    <s v="PALF"/>
    <x v="3"/>
    <s v="CONGO"/>
    <m/>
    <m/>
    <m/>
  </r>
  <r>
    <x v="46"/>
    <s v="Taxi moto : Mabombo - Quartier 1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6"/>
    <s v="Taxi moto : Quartier Mabombo - Place rouge/ Prospection"/>
    <s v="Transport local"/>
    <s v="Investigation"/>
    <n v="400"/>
    <n v="0.74709101436282477"/>
    <n v="535.41"/>
    <s v="IT87"/>
    <s v="IT87-M-D1"/>
    <s v="PALF"/>
    <x v="3"/>
    <s v="CONGO"/>
    <m/>
    <m/>
    <m/>
  </r>
  <r>
    <x v="46"/>
    <s v="Taxi moto : Place rouge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6"/>
    <s v="Frais de tansfert d'argent  à T73 par cf"/>
    <s v="Transfert fees"/>
    <s v="Office"/>
    <n v="3390"/>
    <n v="6.3315963467249405"/>
    <n v="535.41"/>
    <s v="Romain"/>
    <s v="CA-M-R6"/>
    <s v="PALF"/>
    <x v="3"/>
    <s v="CONGO"/>
    <m/>
    <m/>
    <m/>
  </r>
  <r>
    <x v="46"/>
    <s v="Achat de 10 bonbonne d'eau mineral 10 LITRES/Bureau"/>
    <s v="Office Materiels"/>
    <s v="Office"/>
    <n v="24000"/>
    <n v="44.825460861769486"/>
    <n v="535.41"/>
    <s v="Romain"/>
    <s v="CA-M-R7"/>
    <s v="PALF"/>
    <x v="3"/>
    <s v="CONGO"/>
    <m/>
    <m/>
    <m/>
  </r>
  <r>
    <x v="46"/>
    <s v="Taxi: Bureau-Charden Farel"/>
    <s v="Transport local"/>
    <s v="Legal"/>
    <n v="500"/>
    <n v="0.93386376795353099"/>
    <n v="535.41"/>
    <s v="Romain"/>
    <s v="RM-M-D1"/>
    <s v="PALF"/>
    <x v="3"/>
    <s v="CONGO"/>
    <m/>
    <m/>
    <m/>
  </r>
  <r>
    <x v="46"/>
    <s v="Taxi: Charden Farell-Bureau"/>
    <s v="Transport local"/>
    <s v="Legal"/>
    <n v="500"/>
    <n v="0.93386376795353099"/>
    <n v="535.41"/>
    <s v="Romain"/>
    <s v="RM-M-D1"/>
    <s v="PALF"/>
    <x v="3"/>
    <s v="CONGO"/>
    <m/>
    <m/>
    <m/>
  </r>
  <r>
    <x v="47"/>
    <s v="Maison-DGEF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7"/>
    <s v="DGEF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7"/>
    <s v="Bureau-Maison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7"/>
    <s v="P29 -CONGO Frais d'hotel du 10 au 13/03/2026 à dolisie(3 Nuitées)"/>
    <s v="Travel subsistence"/>
    <s v="Investigation"/>
    <n v="30000"/>
    <n v="56.031826077211861"/>
    <n v="535.41"/>
    <s v="P29"/>
    <s v="P29-M-R4"/>
    <s v="PALF"/>
    <x v="3"/>
    <s v="CONGO"/>
    <m/>
    <m/>
    <m/>
  </r>
  <r>
    <x v="47"/>
    <s v="Achat billet Dolisie-kimongo"/>
    <s v="Transport Interurbain"/>
    <s v="Investigation"/>
    <n v="3500"/>
    <n v="6.5370463756747172"/>
    <n v="535.41"/>
    <s v="P29"/>
    <s v="P29-M-R5"/>
    <s v="PALF"/>
    <x v="3"/>
    <s v="CONGO"/>
    <m/>
    <m/>
    <m/>
  </r>
  <r>
    <x v="47"/>
    <s v="Taxi hotel-parking,départ pour kimongo"/>
    <s v="Transport local"/>
    <s v="Investigation"/>
    <n v="1000"/>
    <n v="1.867727535907062"/>
    <n v="535.41"/>
    <s v="P29"/>
    <s v="P29-M-D1"/>
    <s v="PALF"/>
    <x v="3"/>
    <s v="CONGO"/>
    <m/>
    <m/>
    <m/>
  </r>
  <r>
    <x v="47"/>
    <s v="Taxi moto parking-hotel,arrivé à kimongo"/>
    <s v="Transport local"/>
    <s v="Investigation"/>
    <n v="500"/>
    <n v="0.93386376795353099"/>
    <n v="535.41"/>
    <s v="P29"/>
    <s v="P29-M-D1"/>
    <s v="PALF"/>
    <x v="3"/>
    <s v="CONGO"/>
    <m/>
    <m/>
    <m/>
  </r>
  <r>
    <x v="47"/>
    <s v="Taxi moto hotel-poste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47"/>
    <s v="Taxi moto poste-armée du salut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47"/>
    <s v="Taxi moto armée du salut-hotel"/>
    <s v="Transport local"/>
    <s v="Investigation"/>
    <n v="500"/>
    <n v="0.93386376795353099"/>
    <n v="535.41"/>
    <s v="P29"/>
    <s v="P29-M-D1"/>
    <s v="PALF"/>
    <x v="3"/>
    <s v="CONGO"/>
    <m/>
    <m/>
    <m/>
  </r>
  <r>
    <x v="47"/>
    <s v="Achat boisson"/>
    <s v="Trust building"/>
    <s v="Investigation"/>
    <n v="2000"/>
    <n v="3.735455071814124"/>
    <n v="535.41"/>
    <s v="P29"/>
    <s v="P29-M-D5"/>
    <s v="PALF"/>
    <x v="3"/>
    <s v="CONGO"/>
    <m/>
    <m/>
    <m/>
  </r>
  <r>
    <x v="47"/>
    <s v="Taxi moto : hotel - zone MTN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7"/>
    <s v="Taxi moto : zone MTN - marché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7"/>
    <s v="Taxi moto : marché - gare routière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7"/>
    <s v="Taxi moto : gare routière - hotel (libéré la chambre)"/>
    <s v="Transport local"/>
    <s v="Investigation"/>
    <n v="500"/>
    <n v="0.93386376795353099"/>
    <n v="535.41"/>
    <s v="T73"/>
    <s v="T73-M-D1"/>
    <s v="PALF"/>
    <x v="3"/>
    <s v="CONGO"/>
    <m/>
    <m/>
    <m/>
  </r>
  <r>
    <x v="47"/>
    <s v="Taxi moto : hotel - gare routiàre (libéré la chambre)"/>
    <s v="Transport local"/>
    <s v="Investigation"/>
    <n v="500"/>
    <n v="0.93386376795353099"/>
    <n v="535.41"/>
    <s v="T73"/>
    <s v="T73-M-D1"/>
    <s v="PALF"/>
    <x v="3"/>
    <s v="CONGO"/>
    <m/>
    <m/>
    <m/>
  </r>
  <r>
    <x v="47"/>
    <s v="T73 - CONGO Frais d'hotel du 12 au 13/03/2026 à Pokola (01Nuitée)"/>
    <s v="Travel subsistence"/>
    <s v="Investigation"/>
    <n v="10000"/>
    <n v="18.67727535907062"/>
    <n v="535.41"/>
    <s v="T73"/>
    <s v="T73-M-R12"/>
    <s v="PALF"/>
    <x v="3"/>
    <s v="CONGO"/>
    <m/>
    <m/>
    <m/>
  </r>
  <r>
    <x v="47"/>
    <s v="Achat billet : Pokolo - Mboua/T73"/>
    <s v="Transport Interurbain"/>
    <s v="Investigation"/>
    <n v="10000"/>
    <n v="18.67727535907062"/>
    <n v="535.41"/>
    <s v="T73"/>
    <s v="T73-M-R13"/>
    <s v="PALF"/>
    <x v="3"/>
    <s v="CONGO"/>
    <m/>
    <m/>
    <m/>
  </r>
  <r>
    <x v="47"/>
    <s v="IT87- CONGO Frais d'hôtel  du 10 au 13/03/2026 à Sibiti (03 nuitées)"/>
    <s v="Travel subsistence"/>
    <s v="Investigation"/>
    <n v="30000"/>
    <n v="56.031826077211861"/>
    <n v="535.41"/>
    <s v="IT87"/>
    <s v="IT87-M-R10"/>
    <s v="PALF"/>
    <x v="3"/>
    <s v="CONGO"/>
    <m/>
    <m/>
    <m/>
  </r>
  <r>
    <x v="47"/>
    <s v="Taxi moto : Hôtel - Gare routière/ Départ pour Zanaga"/>
    <s v="Transport local"/>
    <s v="Investigation"/>
    <n v="500"/>
    <n v="0.93386376795353099"/>
    <n v="535.41"/>
    <s v="IT87"/>
    <s v="IT87-M-D1"/>
    <s v="PALF"/>
    <x v="3"/>
    <s v="CONGO"/>
    <m/>
    <m/>
    <m/>
  </r>
  <r>
    <x v="47"/>
    <s v="Achat billet Sibiti - Zanaga/ IT87"/>
    <s v="Transport Interurbain"/>
    <s v="Investigation"/>
    <n v="9000"/>
    <n v="16.809547823163559"/>
    <n v="535.41"/>
    <s v="IT87"/>
    <s v="IT87-M-R11"/>
    <s v="PALF"/>
    <x v="3"/>
    <s v="CONGO"/>
    <m/>
    <m/>
    <m/>
  </r>
  <r>
    <x v="47"/>
    <s v="Taxi moto : Gare routière - Hôtel/ Arrivé à Zanaga"/>
    <s v="Transport local"/>
    <s v="Investigation"/>
    <n v="500"/>
    <n v="0.93386376795353099"/>
    <n v="535.41"/>
    <s v="IT87"/>
    <s v="IT87-M-D1"/>
    <s v="PALF"/>
    <x v="3"/>
    <s v="CONGO"/>
    <m/>
    <m/>
    <m/>
  </r>
  <r>
    <x v="47"/>
    <s v="Bonus media portant sur le bilan des activités PALF de l'année 2025 pieces presse Internet (https://www.panoramik-actu.com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(https://www.tribune-eco.cg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(https://www.groupecongomedias.com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www.labreveonline.com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www.adiac-congo.com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www.lasemaineafricaine.info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www.matinlibre.cg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www.firstmediac.com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www.journaldebrazza.com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vmmedias.info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aci.cg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lesechos-congobrazza.com/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opinionpublique.cg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www.lhorizonafricain.com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papier (les depêches de brazzaville)"/>
    <s v="Bonus to media officer"/>
    <s v="Media"/>
    <n v="10000"/>
    <n v="18.67727535907062"/>
    <n v="535.41"/>
    <s v="Evariste"/>
    <s v="CA-M-D8"/>
    <s v="PALF"/>
    <x v="3"/>
    <s v="CONGO"/>
    <m/>
    <m/>
    <m/>
  </r>
  <r>
    <x v="47"/>
    <s v="Bonus media portant sur le bilan des activités PALF de l'année 2025 pieces presse papier( la Semaine Africaine)"/>
    <s v="Bonus to media officer"/>
    <s v="Media"/>
    <n v="10000"/>
    <n v="18.67727535907062"/>
    <n v="535.41"/>
    <s v="Evariste"/>
    <s v="CA-M-D8"/>
    <s v="PALF"/>
    <x v="3"/>
    <s v="CONGO"/>
    <m/>
    <m/>
    <m/>
  </r>
  <r>
    <x v="47"/>
    <s v="Bonus media portant sur le bilan des activités PALF de l'année 2025 pieces presse papier  l'horizion africain"/>
    <s v="Bonus to media officer"/>
    <s v="Media"/>
    <n v="10000"/>
    <n v="18.67727535907062"/>
    <n v="535.41"/>
    <s v="Evariste"/>
    <s v="CA-M-D8"/>
    <s v="PALF"/>
    <x v="3"/>
    <s v="CONGO"/>
    <m/>
    <m/>
    <m/>
  </r>
  <r>
    <x v="47"/>
    <s v="Bonus media portant sur le bilan des activités PALF de l'année 2025 pieces presse papier l'Agence Congolaise de l'Information"/>
    <s v="Bonus to media officer"/>
    <s v="Media"/>
    <n v="10000"/>
    <n v="18.67727535907062"/>
    <n v="535.41"/>
    <s v="Evariste"/>
    <s v="CA-M-D8"/>
    <s v="PALF"/>
    <x v="3"/>
    <s v="CONGO"/>
    <m/>
    <m/>
    <m/>
  </r>
  <r>
    <x v="47"/>
    <s v="Bonus media portant sur le bilan des activités PALF de l'année 2025 presse Radio citoyenne des jeunes"/>
    <s v="Bonus to media officer"/>
    <s v="Media"/>
    <n v="6000"/>
    <n v="11.206365215442371"/>
    <n v="535.41"/>
    <s v="Evariste"/>
    <s v="CA-M-D9"/>
    <s v="PALF"/>
    <x v="3"/>
    <s v="CONGO"/>
    <m/>
    <m/>
    <m/>
  </r>
  <r>
    <x v="47"/>
    <s v="Bonus media portant sur le bilan des activités PALF de l'année 2025 presse Radio Liberté ( 03 pièces: français, Kituba, et Lingala"/>
    <s v="Bonus to media officer"/>
    <s v="Media"/>
    <n v="18000"/>
    <n v="33.619095646327118"/>
    <n v="535.41"/>
    <s v="Evariste"/>
    <s v="CA-M-D9"/>
    <s v="PALF"/>
    <x v="3"/>
    <s v="CONGO"/>
    <m/>
    <m/>
    <m/>
  </r>
  <r>
    <x v="48"/>
    <s v="Maison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8"/>
    <s v="Bureau-Maison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8"/>
    <s v="P29 -CONGO Frais d'hotel du 13 au 14/03/2026 à kimongo(1 Nuitée)"/>
    <s v="Travel subsistence"/>
    <s v="Investigation"/>
    <n v="10000"/>
    <n v="18.67727535907062"/>
    <n v="535.41"/>
    <s v="P29"/>
    <s v="P29-M-R6"/>
    <s v="PALF"/>
    <x v="3"/>
    <s v="CONGO"/>
    <m/>
    <m/>
    <m/>
  </r>
  <r>
    <x v="48"/>
    <s v="Achat billet kimongo-dolisie"/>
    <s v="Transport Interurbain"/>
    <s v="Investigation"/>
    <n v="3500"/>
    <n v="6.5370463756747172"/>
    <n v="535.41"/>
    <s v="P29"/>
    <s v="P29-M-R7"/>
    <s v="PALF"/>
    <x v="3"/>
    <s v="CONGO"/>
    <m/>
    <m/>
    <m/>
  </r>
  <r>
    <x v="48"/>
    <s v="Taxi moto hotel-parking,départ pour dolisie"/>
    <s v="Transport local"/>
    <s v="Investigation"/>
    <n v="500"/>
    <n v="0.93386376795353099"/>
    <n v="535.41"/>
    <s v="P29"/>
    <s v="P29-M-D1"/>
    <s v="PALF"/>
    <x v="3"/>
    <s v="CONGO"/>
    <m/>
    <m/>
    <m/>
  </r>
  <r>
    <x v="48"/>
    <s v="Taxi parking-hotel,arrivé à dolisie"/>
    <s v="Transport local"/>
    <s v="Investigation"/>
    <n v="1000"/>
    <n v="1.867727535907062"/>
    <n v="535.41"/>
    <s v="P29"/>
    <s v="P29-M-D1"/>
    <s v="PALF"/>
    <x v="3"/>
    <s v="CONGO"/>
    <m/>
    <m/>
    <m/>
  </r>
  <r>
    <x v="48"/>
    <s v="Taxi hotel-bacongo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8"/>
    <s v="Taxi bacongo-tahiti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8"/>
    <s v="Taxi tahiti-capable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8"/>
    <s v="Taxi capable-hotel"/>
    <s v="Transport local"/>
    <s v="Investigation"/>
    <n v="1000"/>
    <n v="1.867727535907062"/>
    <n v="535.41"/>
    <s v="P29"/>
    <s v="P29-M-D1"/>
    <s v="PALF"/>
    <x v="3"/>
    <s v="CONGO"/>
    <m/>
    <m/>
    <m/>
  </r>
  <r>
    <x v="48"/>
    <s v="Achat boisson"/>
    <s v="Trust building"/>
    <s v="Investigation"/>
    <n v="2000"/>
    <n v="3.735455071814124"/>
    <n v="535.41"/>
    <s v="P29"/>
    <s v="P29-M-D5"/>
    <s v="PALF"/>
    <x v="3"/>
    <s v="CONGO"/>
    <m/>
    <m/>
    <m/>
  </r>
  <r>
    <x v="48"/>
    <s v="Taxi moto : parking - hotel"/>
    <s v="Transport local"/>
    <s v="Investigation"/>
    <n v="500"/>
    <n v="0.93386376795353099"/>
    <n v="535.41"/>
    <s v="T73"/>
    <s v="T73-M-D1"/>
    <s v="PALF"/>
    <x v="3"/>
    <s v="CONGO"/>
    <m/>
    <m/>
    <m/>
  </r>
  <r>
    <x v="48"/>
    <s v="Taxi moto : hotel - marché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8"/>
    <s v="Taxi moto : marché - port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8"/>
    <s v="Taxi moto : port - centre vill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8"/>
    <s v="Taxi moto : centre ville - hotel (fin de journée)"/>
    <s v="Transport local"/>
    <s v="Investigation"/>
    <n v="500"/>
    <n v="0.93386376795353099"/>
    <n v="535.41"/>
    <s v="T73"/>
    <s v="T73-M-D1"/>
    <s v="PALF"/>
    <x v="3"/>
    <s v="CONGO"/>
    <m/>
    <m/>
    <m/>
  </r>
  <r>
    <x v="48"/>
    <s v="Taxi moto : Hôtel - Avenue principal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8"/>
    <s v="Achat boisons avec la cible"/>
    <s v="Trust building"/>
    <s v="Investigation"/>
    <n v="1600"/>
    <n v="2.9883640574512991"/>
    <n v="535.41"/>
    <s v="IT87"/>
    <s v="IT87-M-D2"/>
    <s v="PALF"/>
    <x v="3"/>
    <s v="CONGO"/>
    <m/>
    <m/>
    <m/>
  </r>
  <r>
    <x v="48"/>
    <s v="Taxi moto : Avenue principal - Avenue Okoyi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8"/>
    <s v="Taxi moto : Avenue Okoyi - Quartier Social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8"/>
    <s v="Achat boisons avec la cible"/>
    <s v="Trust building"/>
    <s v="Investigation"/>
    <n v="2000"/>
    <n v="3.735455071814124"/>
    <n v="535.41"/>
    <s v="IT87"/>
    <s v="IT87-M-D2"/>
    <s v="PALF"/>
    <x v="3"/>
    <s v="CONGO"/>
    <m/>
    <m/>
    <m/>
  </r>
  <r>
    <x v="48"/>
    <s v="Taxi moto : Quartier social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9"/>
    <s v="Taxi moto : Hôtel - Quartier 1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9"/>
    <s v="Taxi moto : Quartier 1 - Quartier Sama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9"/>
    <s v="Achat boisons avec la cible"/>
    <s v="Trust building"/>
    <s v="Investigation"/>
    <n v="2000"/>
    <n v="3.735455071814124"/>
    <n v="535.41"/>
    <s v="IT87"/>
    <s v="IT87-M-D2"/>
    <s v="PALF"/>
    <x v="3"/>
    <s v="CONGO"/>
    <m/>
    <m/>
    <m/>
  </r>
  <r>
    <x v="49"/>
    <s v="Taxi moto : Quartier Sama - Parking/ Réservation de la place dans le véhicule"/>
    <s v="Transport local"/>
    <s v="Investigation"/>
    <n v="500"/>
    <n v="0.93386376795353099"/>
    <n v="535.41"/>
    <s v="IT87"/>
    <s v="IT87-M-D1"/>
    <s v="PALF"/>
    <x v="3"/>
    <s v="CONGO"/>
    <m/>
    <m/>
    <m/>
  </r>
  <r>
    <x v="49"/>
    <s v="Taxi moto : Parking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50"/>
    <s v="Maison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50"/>
    <s v="Bureau-Parc Zoologique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50"/>
    <s v="Parc Zoologique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50"/>
    <s v="Bureau-Maison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50"/>
    <s v="Achat billet dolisie-ditadi"/>
    <s v="Transport Interurbain"/>
    <s v="Investigation"/>
    <n v="2000"/>
    <n v="3.735455071814124"/>
    <n v="535.41"/>
    <s v="P29"/>
    <s v="P29-M-R8"/>
    <s v="PALF"/>
    <x v="3"/>
    <s v="CONGO"/>
    <m/>
    <m/>
    <m/>
  </r>
  <r>
    <x v="50"/>
    <s v="Achat billet ditadi-dolisie"/>
    <s v="Transport Interurbain"/>
    <s v="Investigation"/>
    <n v="2000"/>
    <n v="3.735455071814124"/>
    <n v="535.41"/>
    <s v="P29"/>
    <s v="P29-M-R9"/>
    <s v="PALF"/>
    <x v="3"/>
    <s v="CONGO"/>
    <m/>
    <m/>
    <m/>
  </r>
  <r>
    <x v="50"/>
    <s v="Taxi hotel-gare routière,départ pour ditadi"/>
    <s v="Transport local"/>
    <s v="Investigation"/>
    <n v="500"/>
    <n v="0.93386376795353099"/>
    <n v="535.41"/>
    <s v="P29"/>
    <s v="P29-M-D1"/>
    <s v="PALF"/>
    <x v="3"/>
    <s v="CONGO"/>
    <m/>
    <m/>
    <m/>
  </r>
  <r>
    <x v="50"/>
    <s v="Taxi moto gare routière-marché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50"/>
    <s v="Taxi moto marché-pk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50"/>
    <s v="Taxi moto pk-centre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50"/>
    <s v="Taxi centre-gare routière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50"/>
    <s v="Achat boisson"/>
    <s v="Trust building"/>
    <s v="Investigation"/>
    <n v="1000"/>
    <n v="1.867727535907062"/>
    <n v="535.41"/>
    <s v="P29"/>
    <s v="P29-M-D5"/>
    <s v="PALF"/>
    <x v="3"/>
    <s v="CONGO"/>
    <m/>
    <m/>
    <m/>
  </r>
  <r>
    <x v="50"/>
    <s v="Taxi moto : Mboua - village Mpene (vérifcation produit)"/>
    <s v="Transport Interurbain"/>
    <s v="Investigation"/>
    <n v="6000"/>
    <n v="11.206365215442371"/>
    <n v="535.41"/>
    <s v="T73"/>
    <s v="T73-M-R14"/>
    <s v="PALF"/>
    <x v="3"/>
    <s v="CONGO"/>
    <m/>
    <m/>
    <m/>
  </r>
  <r>
    <x v="50"/>
    <s v="Taxi moto : village Mpene - village béné (vérifcation produit)"/>
    <s v="Transport Interurbain"/>
    <s v="Investigation"/>
    <n v="4000"/>
    <n v="7.4709101436282479"/>
    <n v="535.41"/>
    <s v="T73"/>
    <s v="T73-M-R15"/>
    <s v="PALF"/>
    <x v="3"/>
    <s v="CONGO"/>
    <m/>
    <m/>
    <m/>
  </r>
  <r>
    <x v="50"/>
    <s v="Taxi moto : village béné - Mboua (vérifcation produit)"/>
    <s v="Transport Interurbain"/>
    <s v="Investigation"/>
    <n v="4000"/>
    <n v="7.4709101436282479"/>
    <n v="535.41"/>
    <s v="T73"/>
    <s v="T73-M-R16"/>
    <s v="PALF"/>
    <x v="3"/>
    <s v="CONGO"/>
    <m/>
    <m/>
    <m/>
  </r>
  <r>
    <x v="50"/>
    <s v="achat boisson et nourriture /une cible"/>
    <s v="Trust building"/>
    <s v="Investigation"/>
    <n v="4500"/>
    <n v="8.4047739115817794"/>
    <n v="535.41"/>
    <s v="T73"/>
    <s v="T73-M-D2"/>
    <s v="PALF"/>
    <x v="3"/>
    <s v="CONGO"/>
    <m/>
    <m/>
    <m/>
  </r>
  <r>
    <x v="50"/>
    <s v="Taxi moto : hotel - parking"/>
    <s v="Transport local"/>
    <s v="Investigation"/>
    <n v="500"/>
    <n v="0.93386376795353099"/>
    <n v="535.41"/>
    <s v="T73"/>
    <s v="T73-M-D1"/>
    <s v="PALF"/>
    <x v="3"/>
    <s v="CONGO"/>
    <m/>
    <m/>
    <m/>
  </r>
  <r>
    <x v="50"/>
    <s v="achat billet : Mboua - Pokola/T73"/>
    <s v="Transport Interurbain"/>
    <s v="Investigation"/>
    <n v="10000"/>
    <n v="18.67727535907062"/>
    <n v="535.41"/>
    <s v="T73"/>
    <s v="T73-M-R17"/>
    <s v="PALF"/>
    <x v="3"/>
    <s v="CONGO"/>
    <m/>
    <m/>
    <m/>
  </r>
  <r>
    <x v="50"/>
    <s v="T73 - CONGO Frais d'hotel du 13au 16/03/2026 à Mboua (03Nuitées)"/>
    <s v="Travel subsistence"/>
    <s v="Investigation"/>
    <n v="30000"/>
    <n v="56.031826077211861"/>
    <n v="535.41"/>
    <s v="T73"/>
    <s v="T73-M-R18"/>
    <s v="PALF"/>
    <x v="3"/>
    <s v="CONGO"/>
    <m/>
    <m/>
    <m/>
  </r>
  <r>
    <x v="50"/>
    <s v="IT87- CONGO Frais d'hôtel  du 13 au 16/03/2026 à Zanaga (03 nuitées)"/>
    <s v="Travel subsistence"/>
    <s v="Investigation"/>
    <n v="30000"/>
    <n v="56.031826077211861"/>
    <n v="535.41"/>
    <s v="IT87"/>
    <s v="IT87-M-R12"/>
    <s v="PALF"/>
    <x v="3"/>
    <s v="CONGO"/>
    <m/>
    <m/>
    <m/>
  </r>
  <r>
    <x v="50"/>
    <s v="Taxi moto : Hôtel - Parking/ Départ de Zanaga pour Loudima"/>
    <s v="Transport local"/>
    <s v="Investigation"/>
    <n v="500"/>
    <n v="0.93386376795353099"/>
    <n v="535.41"/>
    <s v="IT87"/>
    <s v="IT87-M-D1"/>
    <s v="PALF"/>
    <x v="3"/>
    <s v="CONGO"/>
    <m/>
    <m/>
    <m/>
  </r>
  <r>
    <x v="50"/>
    <s v="Achat billet Zanaga - Sibiti/ IT87"/>
    <s v="Transport Interurbain"/>
    <s v="Investigation"/>
    <n v="9000"/>
    <n v="16.809547823163559"/>
    <n v="535.41"/>
    <s v="IT87"/>
    <s v="IT87-M-R13"/>
    <s v="PALF"/>
    <x v="3"/>
    <s v="CONGO"/>
    <m/>
    <m/>
    <m/>
  </r>
  <r>
    <x v="50"/>
    <s v="Achat billet Sibiti - Loudima/ IT87"/>
    <s v="Transport Interurbain"/>
    <s v="Investigation"/>
    <n v="4000"/>
    <n v="7.4709101436282479"/>
    <n v="535.41"/>
    <s v="IT87"/>
    <s v="IT87-M-R14"/>
    <s v="PALF"/>
    <x v="3"/>
    <s v="CONGO"/>
    <m/>
    <m/>
    <m/>
  </r>
  <r>
    <x v="50"/>
    <s v="Taxi moto : Gare routière - Hôtel Alino/ Arrivé à Loudima"/>
    <s v="Transport local"/>
    <s v="Investigation"/>
    <n v="1000"/>
    <n v="1.867727535907062"/>
    <n v="535.41"/>
    <s v="IT87"/>
    <s v="IT87-M-D1"/>
    <s v="PALF"/>
    <x v="3"/>
    <s v="CONGO"/>
    <m/>
    <m/>
    <m/>
  </r>
  <r>
    <x v="50"/>
    <s v="Taxi moto : Hôtel - Zone du marché de Loudima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50"/>
    <s v="Taxi moto : Zone du marché de Loudima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50"/>
    <s v="Taxi, Bureau PALF-Les Dépêches de Brazzaville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Les Dépêches de Brazzaville-Radio Liberté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Radio Liberté-groupecongomedias.com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groupecongomedias.com-lesechos-congobrazza.com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lesechos-congobrazza.com-panoramik-actu.com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panoramik-actu.com-tribune-eco.com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tribune-eco.com-La Semaine Africaine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La Semaine Africaine-firstmediac.com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firstmediac.com-opinionpublique.cg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opinionpublique.cg-panoramik-actu.com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panoramik-actu.com-Bureau PALF"/>
    <s v="Transport local"/>
    <s v="Media"/>
    <n v="1000"/>
    <n v="1.867727535907062"/>
    <n v="535.41"/>
    <s v="Evariste"/>
    <s v="EV-M-D1"/>
    <s v="PALF"/>
    <x v="3"/>
    <s v="CONGO"/>
    <m/>
    <m/>
    <m/>
  </r>
  <r>
    <x v="51"/>
    <s v="Paiement assurance individuel accident corporel/DOVI"/>
    <s v="Personnel"/>
    <s v="Management"/>
    <n v="80500"/>
    <n v="151.11166315014682"/>
    <n v="532.71864210781655"/>
    <s v="DOVI"/>
    <s v="CA-M-R9"/>
    <s v="PALF"/>
    <x v="3"/>
    <s v="CONGO"/>
    <m/>
    <m/>
    <m/>
  </r>
  <r>
    <x v="51"/>
    <s v="Paiement assurance Assistance Evacuation/DOVI"/>
    <s v="Personnel"/>
    <s v="Management"/>
    <n v="129464"/>
    <n v="243.02509761578398"/>
    <n v="532.71864210781655"/>
    <s v="DOVI"/>
    <s v="CA-M-R10"/>
    <s v="PALF"/>
    <x v="3"/>
    <s v="CONGO"/>
    <m/>
    <m/>
    <m/>
  </r>
  <r>
    <x v="51"/>
    <s v="Maison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51"/>
    <s v="Bureau- Maison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51"/>
    <s v=" Frais de prestation de nettoyage jardin PALF Février 2026"/>
    <s v="Services"/>
    <s v="Office"/>
    <n v="40000"/>
    <n v="74.709101436282481"/>
    <n v="535.41"/>
    <s v="Parfaite"/>
    <s v="CA-M-R8"/>
    <s v="PALF"/>
    <x v="3"/>
    <s v="CONGO"/>
    <m/>
    <m/>
    <m/>
  </r>
  <r>
    <x v="51"/>
    <s v="Réglement facture électricité periode Janvier et Février 2026/bureau PALF"/>
    <s v="Rent &amp; Utilities"/>
    <s v="Office"/>
    <n v="40613"/>
    <n v="75.854018415793504"/>
    <n v="535.41"/>
    <s v="Parfaite"/>
    <s v="CA-M-R11"/>
    <s v="PALF"/>
    <x v="3"/>
    <s v="CONGO"/>
    <m/>
    <m/>
    <m/>
  </r>
  <r>
    <x v="51"/>
    <s v="Taxi: Bureau -Direction Energie Electrique du Congo/Règlement facture janvier et fevrier 2026"/>
    <s v="Transport local"/>
    <s v="Office"/>
    <n v="1000"/>
    <n v="1.867727535907062"/>
    <n v="535.41"/>
    <s v="Parfaite"/>
    <s v="P-M-D1"/>
    <s v="PALF"/>
    <x v="3"/>
    <s v="CONGO"/>
    <m/>
    <m/>
    <m/>
  </r>
  <r>
    <x v="51"/>
    <s v="Taxi: Direction Energie Electrique du Congo-Bureau"/>
    <s v="Transport local"/>
    <s v="Office"/>
    <n v="1000"/>
    <n v="1.867727535907062"/>
    <n v="535.41"/>
    <s v="Parfaite"/>
    <s v="P-M-D1"/>
    <s v="PALF"/>
    <x v="3"/>
    <s v="CONGO"/>
    <m/>
    <m/>
    <m/>
  </r>
  <r>
    <x v="51"/>
    <s v="Taxi: Bureau - Societé d'assurances SUNU/ paiement assurance du coordinateur PALF"/>
    <s v="Transport local"/>
    <s v="Office"/>
    <n v="1000"/>
    <n v="1.867727535907062"/>
    <n v="535.41"/>
    <s v="Parfaite"/>
    <s v="P-M-D1"/>
    <s v="PALF"/>
    <x v="3"/>
    <s v="CONGO"/>
    <m/>
    <m/>
    <m/>
  </r>
  <r>
    <x v="51"/>
    <s v="Taxi:  Societé d'assurances SUNU-Bureau"/>
    <s v="Transport local"/>
    <s v="Office"/>
    <n v="1000"/>
    <n v="1.867727535907062"/>
    <n v="535.41"/>
    <s v="Parfaite"/>
    <s v="P-M-D1"/>
    <s v="PALF"/>
    <x v="3"/>
    <s v="CONGO"/>
    <m/>
    <m/>
    <m/>
  </r>
  <r>
    <x v="51"/>
    <s v="P29 -CONGO Frais d'hotel du 14 au 17/03/2026 à dolisie(4 Nuitées)"/>
    <s v="Travel subsistence"/>
    <s v="Investigation"/>
    <n v="30000"/>
    <n v="56.031826077211861"/>
    <n v="535.41"/>
    <s v="P29"/>
    <s v="P29-M-R10"/>
    <s v="PALF"/>
    <x v="3"/>
    <s v="CONGO"/>
    <m/>
    <m/>
    <m/>
  </r>
  <r>
    <x v="51"/>
    <s v="Achat billet dolisie-brazzaville/P29"/>
    <s v="Transport Interurbain"/>
    <s v="Investigation"/>
    <n v="9000"/>
    <n v="16.809547823163559"/>
    <n v="535.41"/>
    <s v="P29"/>
    <s v="P29-M-R11"/>
    <s v="PALF"/>
    <x v="3"/>
    <s v="CONGO"/>
    <m/>
    <m/>
    <m/>
  </r>
  <r>
    <x v="51"/>
    <s v="Taxi hotel-agence,départ brazzaville"/>
    <s v="Transport local"/>
    <s v="Investigation"/>
    <n v="1000"/>
    <n v="1.867727535907062"/>
    <n v="535.41"/>
    <s v="P29"/>
    <s v="P29-M-D1"/>
    <s v="PALF"/>
    <x v="3"/>
    <s v="CONGO"/>
    <m/>
    <m/>
    <m/>
  </r>
  <r>
    <x v="51"/>
    <s v="Taxi agence-domicile,arrivé à brazzaville"/>
    <s v="Transport local"/>
    <s v="Investigation"/>
    <n v="1500"/>
    <n v="2.8015913038605929"/>
    <n v="535.41"/>
    <s v="P29"/>
    <s v="P29-M-D1"/>
    <s v="PALF"/>
    <x v="3"/>
    <s v="CONGO"/>
    <m/>
    <m/>
    <m/>
  </r>
  <r>
    <x v="51"/>
    <s v="taxi moto :  hotel - marché (prospection )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taxi moto :  marché - zone CIB (rendez - vous avec la cible)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taxi moto :  zone CIB - zone stade 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taxi moto :  zone stade - hotel  (libéré hotel)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taxi moto : hotel - gare routière (départ pour Ouesso)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T73 - CONGO Frais d'hotel du 16au 17/03/2026 à Pokola (01Nuitée)"/>
    <s v="Travel subsistence"/>
    <s v="Investigation"/>
    <n v="10000"/>
    <n v="18.67727535907062"/>
    <n v="535.41"/>
    <s v="T73"/>
    <s v="T73-M-R19"/>
    <s v="PALF"/>
    <x v="3"/>
    <s v="CONGO"/>
    <m/>
    <m/>
    <m/>
  </r>
  <r>
    <x v="51"/>
    <s v="Achat boisson/ une cible"/>
    <s v="Trust building"/>
    <s v="Investigation"/>
    <n v="2000"/>
    <n v="3.735455071814124"/>
    <n v="535.41"/>
    <s v="T73"/>
    <s v="T73-M-D2"/>
    <s v="PALF"/>
    <x v="3"/>
    <s v="CONGO"/>
    <m/>
    <m/>
    <m/>
  </r>
  <r>
    <x v="51"/>
    <s v="Taxi : port - hotel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Taxi :  hotel - agence transbony (reservation billet)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Achat billet : Pokola -Ouesso /T73"/>
    <s v="Transport Interurbain"/>
    <s v="Investigation"/>
    <n v="2000"/>
    <n v="3.735455071814124"/>
    <n v="535.41"/>
    <s v="T73"/>
    <s v="T73-M-R20"/>
    <s v="PALF"/>
    <x v="3"/>
    <s v="CONGO"/>
    <m/>
    <m/>
    <m/>
  </r>
  <r>
    <x v="51"/>
    <s v="Taxi :  agence transbony - hotel (fin de journée)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IT87- CONGO Frais d'hôtel  du 16 au 17/03/2026 à Loudima (01 Nuitée)"/>
    <s v="Travel subsistence"/>
    <s v="Investigation"/>
    <n v="10000"/>
    <n v="18.67727535907062"/>
    <n v="535.41"/>
    <s v="IT87"/>
    <s v="IT87-M-R15"/>
    <s v="PALF"/>
    <x v="3"/>
    <s v="CONGO"/>
    <m/>
    <m/>
    <m/>
  </r>
  <r>
    <x v="51"/>
    <s v="Taxi moto : Hôtel - Agence Trans bony/ Départ de Loudima pour Brazzaville"/>
    <s v="Transport local"/>
    <s v="Investigation"/>
    <n v="1000"/>
    <n v="1.867727535907062"/>
    <n v="535.41"/>
    <s v="IT87"/>
    <s v="IT87-M-D1"/>
    <s v="PALF"/>
    <x v="3"/>
    <s v="CONGO"/>
    <m/>
    <m/>
    <m/>
  </r>
  <r>
    <x v="51"/>
    <s v="Achat billet Loudima - Brazzaville/ IT87"/>
    <s v="Transport Interurbain"/>
    <s v="Investigation"/>
    <n v="7000"/>
    <n v="13.074092751349434"/>
    <n v="535.41"/>
    <s v="IT87"/>
    <s v="IT87-M-R16"/>
    <s v="PALF"/>
    <x v="3"/>
    <s v="CONGO"/>
    <m/>
    <m/>
    <m/>
  </r>
  <r>
    <x v="51"/>
    <s v="Taxi : Agence Ocean du nord Moungali - Domicile/ Arrivée à Brazzaville"/>
    <s v="Transport local"/>
    <s v="Investigation"/>
    <n v="2500"/>
    <n v="4.669318839767655"/>
    <n v="535.41"/>
    <s v="IT87"/>
    <s v="IT87-M-D1"/>
    <s v="PALF"/>
    <x v="3"/>
    <s v="CONGO"/>
    <m/>
    <m/>
    <m/>
  </r>
  <r>
    <x v="52"/>
    <s v="Maison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52"/>
    <s v="Parc Zoologique - 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2"/>
    <s v="Bureau-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2"/>
    <s v="Credit telephonique MTN/PALF/ du 19 au 24 Mars 2026/ DOVI"/>
    <s v="Telephone"/>
    <s v="Management"/>
    <n v="10000"/>
    <n v="19.25480302035654"/>
    <n v="519.35093749999999"/>
    <s v="DOVI"/>
    <s v="DH-M-R4"/>
    <s v="PALF"/>
    <x v="3"/>
    <s v="CONGO"/>
    <m/>
    <m/>
    <m/>
  </r>
  <r>
    <x v="52"/>
    <s v="Credit telephonique MTN PALF/du 18   au 24 Mars 2026/Legal/ crepin"/>
    <s v="Telephone"/>
    <s v="Legal"/>
    <n v="7500"/>
    <n v="14.007956519302965"/>
    <n v="535.41"/>
    <s v="Crépin"/>
    <s v="CR-M-R3"/>
    <s v="PALF"/>
    <x v="3"/>
    <s v="CONGO"/>
    <m/>
    <m/>
    <m/>
  </r>
  <r>
    <x v="52"/>
    <s v="Reglement facture internet periode du 18/03 au 18/04/2026 bureau PALF"/>
    <s v="Internet"/>
    <s v="Office"/>
    <n v="45050"/>
    <n v="84.141125492613142"/>
    <n v="535.41"/>
    <s v="Parfaite"/>
    <s v="CA-M-R12"/>
    <s v="PALF"/>
    <x v="3"/>
    <s v="CONGO"/>
    <m/>
    <m/>
    <m/>
  </r>
  <r>
    <x v="52"/>
    <s v="Frais de tansfert d'argent  à T73 par cf"/>
    <s v="Transfert fees"/>
    <s v="Office"/>
    <n v="3150"/>
    <n v="5.8833417381072453"/>
    <n v="535.41"/>
    <s v="Parfaite"/>
    <s v="CA-M-R13"/>
    <s v="PALF"/>
    <x v="3"/>
    <s v="CONGO"/>
    <m/>
    <m/>
    <m/>
  </r>
  <r>
    <x v="52"/>
    <s v="Frais de tansfert d'argent  à P29 et T73 par cf"/>
    <s v="Transfert fees"/>
    <s v="Office"/>
    <n v="7710"/>
    <n v="14.400179301843448"/>
    <n v="535.41"/>
    <s v="Parfaite"/>
    <s v="CA-M-R14"/>
    <s v="PALF"/>
    <x v="3"/>
    <s v="CONGO"/>
    <m/>
    <m/>
    <m/>
  </r>
  <r>
    <x v="52"/>
    <s v="Taxi:  Bureau- Charden farell/ transfert d'argent à  T73"/>
    <s v="Transport local"/>
    <s v="Office"/>
    <n v="500"/>
    <n v="0.93386376795353099"/>
    <n v="535.41"/>
    <s v="Parfaite"/>
    <s v="P-M-D1"/>
    <s v="PALF"/>
    <x v="3"/>
    <s v="CONGO"/>
    <m/>
    <m/>
    <m/>
  </r>
  <r>
    <x v="52"/>
    <s v="Taxi: Charden Farell-Bureau"/>
    <s v="Transport local"/>
    <s v="Office"/>
    <n v="500"/>
    <n v="0.93386376795353099"/>
    <n v="535.41"/>
    <s v="Parfaite"/>
    <s v="P-M-D1"/>
    <s v="PALF"/>
    <x v="3"/>
    <s v="CONGO"/>
    <m/>
    <m/>
    <m/>
  </r>
  <r>
    <x v="52"/>
    <s v="Taxi:Bureau- Direction Canal Box/ Paiement internet du mois de Décembre 2025"/>
    <s v="Transport local"/>
    <s v="Office"/>
    <n v="1000"/>
    <n v="1.867727535907062"/>
    <n v="535.41"/>
    <s v="Parfaite"/>
    <s v="P-M-D1"/>
    <s v="PALF"/>
    <x v="3"/>
    <s v="CONGO"/>
    <m/>
    <m/>
    <m/>
  </r>
  <r>
    <x v="52"/>
    <s v="Taxi: Direction Canal Box-Bureau"/>
    <s v="Transport local"/>
    <s v="Office"/>
    <n v="1000"/>
    <n v="1.867727535907062"/>
    <n v="535.41"/>
    <s v="Parfaite"/>
    <s v="P-M-D1"/>
    <s v="PALF"/>
    <x v="3"/>
    <s v="CONGO"/>
    <m/>
    <m/>
    <m/>
  </r>
  <r>
    <x v="52"/>
    <s v="Taxi: Bureau- Direction MTN / Achat crédit télephonique equipe PALF"/>
    <s v="Transport local"/>
    <s v="Office"/>
    <n v="1000"/>
    <n v="1.867727535907062"/>
    <n v="535.41"/>
    <s v="Parfaite"/>
    <s v="P-M-D1"/>
    <s v="PALF"/>
    <x v="3"/>
    <s v="CONGO"/>
    <m/>
    <m/>
    <m/>
  </r>
  <r>
    <x v="52"/>
    <s v="Taxi: Direction MTN - Bureau"/>
    <s v="Transport local"/>
    <s v="Office"/>
    <n v="1000"/>
    <n v="1.867727535907062"/>
    <n v="535.41"/>
    <s v="Parfaite"/>
    <s v="P-M-D1"/>
    <s v="PALF"/>
    <x v="3"/>
    <s v="CONGO"/>
    <m/>
    <m/>
    <m/>
  </r>
  <r>
    <x v="52"/>
    <s v="Credit teléphonique MTN PALF/ du 18 au 24 Mars 2026/Management/ Parfaite"/>
    <s v="Telephone"/>
    <s v="Management"/>
    <n v="5000"/>
    <n v="9.3386376795353101"/>
    <n v="535.41"/>
    <s v="Parfaite"/>
    <s v="P-M-R3"/>
    <s v="PALF"/>
    <x v="3"/>
    <s v="CONGO"/>
    <m/>
    <m/>
    <m/>
  </r>
  <r>
    <x v="52"/>
    <s v="Taxi:  Bureau- Cabinet d'avocat/remise du chèque du mois déc 2025, janv et fév 2026 Me LOCKO"/>
    <s v="Transport local"/>
    <s v="Office"/>
    <n v="1000"/>
    <n v="1.867727535907062"/>
    <n v="535.41"/>
    <s v="Parfaite"/>
    <s v="P-M-D1"/>
    <s v="PALF"/>
    <x v="3"/>
    <s v="CONGO"/>
    <m/>
    <m/>
    <m/>
  </r>
  <r>
    <x v="52"/>
    <s v="Taxi:  Cabinet d'Avocat - Domicile"/>
    <s v="Transport local"/>
    <s v="Office"/>
    <n v="1000"/>
    <n v="1.867727535907062"/>
    <n v="535.41"/>
    <s v="Parfaite"/>
    <s v="P-M-D1"/>
    <s v="PALF"/>
    <x v="3"/>
    <s v="CONGO"/>
    <m/>
    <m/>
    <m/>
  </r>
  <r>
    <x v="52"/>
    <s v="Achat billet brazzaville-ouesso/P29"/>
    <s v="Transport Interurbain"/>
    <s v="Investigation"/>
    <n v="12000"/>
    <n v="22.412730430884743"/>
    <n v="535.41"/>
    <s v="P29"/>
    <s v="P29-M-R12"/>
    <s v="PALF"/>
    <x v="3"/>
    <s v="CONGO"/>
    <m/>
    <m/>
    <m/>
  </r>
  <r>
    <x v="52"/>
    <s v="Credit telephonique MTN PALF/ du18  au 23 Mars 2026/ Investigation/P29"/>
    <s v="Telephone"/>
    <s v="Investigation"/>
    <n v="7500"/>
    <n v="14.007956519302965"/>
    <n v="535.41"/>
    <s v="P29"/>
    <s v="P29-M-R13"/>
    <s v="PALF"/>
    <x v="3"/>
    <s v="CONGO"/>
    <m/>
    <m/>
    <m/>
  </r>
  <r>
    <x v="52"/>
    <s v="taxi : hotel - agence trans bony ( départ pour Brazzaville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Taxi : agence bony - domicile"/>
    <s v="Transport local"/>
    <s v="Investigation"/>
    <n v="1000"/>
    <n v="1.867727535907062"/>
    <n v="535.41"/>
    <s v="T73"/>
    <s v="T73-M-D1"/>
    <s v="PALF"/>
    <x v="3"/>
    <s v="CONGO"/>
    <m/>
    <m/>
    <m/>
  </r>
  <r>
    <x v="52"/>
    <s v="Taxi : hotel - centre vill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Taxi : hotel - centre vill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Taxi : centre ville - marché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Taxi : marché - charden farel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Taxi : charden  - anciene pist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Taxi : anciene piste - zone aéroport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Taxi : zone aéroport - hotel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achat boissons : une cible"/>
    <s v="Trust building"/>
    <s v="Investigation"/>
    <n v="2000"/>
    <n v="3.735455071814124"/>
    <n v="535.41"/>
    <s v="T73"/>
    <s v="T73-M-D2"/>
    <s v="PALF"/>
    <x v="3"/>
    <s v="CONGO"/>
    <m/>
    <m/>
    <m/>
  </r>
  <r>
    <x v="52"/>
    <s v="Credit telephonique MTN PALF/ du 18 au 24 Mars 2026/ Investigation/T73"/>
    <s v="Telephone"/>
    <s v="Investigation"/>
    <n v="7500"/>
    <n v="14.007956519302965"/>
    <n v="535.41"/>
    <s v="T73"/>
    <s v="T73-M-R21"/>
    <s v="PALF"/>
    <x v="3"/>
    <s v="CONGO"/>
    <m/>
    <m/>
    <m/>
  </r>
  <r>
    <x v="52"/>
    <s v="Taxi : Bureau - Agence Trans Bony/ Achat billet de P29"/>
    <s v="Transport local"/>
    <s v="Investigation"/>
    <n v="1000"/>
    <n v="1.867727535907062"/>
    <n v="535.41"/>
    <s v="IT87"/>
    <s v="IT87-M-D1"/>
    <s v="PALF"/>
    <x v="3"/>
    <s v="CONGO"/>
    <m/>
    <m/>
    <m/>
  </r>
  <r>
    <x v="52"/>
    <s v="Taxi : Agence Trans Bony - Bureau/ Retour d'achat du billet de P29"/>
    <s v="Transport local"/>
    <s v="Investigation"/>
    <n v="1000"/>
    <n v="1.867727535907062"/>
    <n v="535.41"/>
    <s v="IT87"/>
    <s v="IT87-M-D1"/>
    <s v="PALF"/>
    <x v="3"/>
    <s v="CONGO"/>
    <m/>
    <m/>
    <m/>
  </r>
  <r>
    <x v="52"/>
    <s v="Credit telephonique MTN PALF/du 18 au 24 Mars 2026/Investigation/IT87"/>
    <s v="Telephone"/>
    <s v="Investigation"/>
    <n v="7500"/>
    <n v="14.007956519302965"/>
    <n v="535.41"/>
    <s v="IT87"/>
    <s v="IT87-M-R17"/>
    <s v="PALF"/>
    <x v="3"/>
    <s v="CONGO"/>
    <m/>
    <m/>
    <m/>
  </r>
  <r>
    <x v="52"/>
    <s v="Credit telephonique MTN PALF/ du 18 au 24 Mars 2026/Legal//Donald-Roméo"/>
    <s v="Telephone"/>
    <s v="Legal"/>
    <n v="7500"/>
    <n v="14.007956519302965"/>
    <n v="535.41"/>
    <s v="Donald-Romeo"/>
    <s v="DR-M-R3"/>
    <s v="PALF"/>
    <x v="3"/>
    <s v="CONGO"/>
    <m/>
    <m/>
    <m/>
  </r>
  <r>
    <x v="52"/>
    <s v="Credit telephonique MTN PALF/du 10 au 17 Mars 2026/Evariste/ Evariste"/>
    <s v="Telephone"/>
    <s v="Media"/>
    <n v="7500"/>
    <n v="14.007956519302965"/>
    <n v="535.41"/>
    <s v="Evariste"/>
    <s v="EV-M-R3"/>
    <s v="PALF"/>
    <x v="3"/>
    <s v="CONGO"/>
    <m/>
    <m/>
    <m/>
  </r>
  <r>
    <x v="52"/>
    <s v="Credit telephonique MTN PALF/du 18 au 24 Mars 2026/Legal/Romain"/>
    <s v="Telephone"/>
    <s v="Legal"/>
    <n v="5000"/>
    <n v="9.3386376795353101"/>
    <n v="535.41"/>
    <s v="Romain"/>
    <s v="RM-M-R3"/>
    <s v="PALF"/>
    <x v="3"/>
    <s v="CONGO"/>
    <m/>
    <m/>
    <m/>
  </r>
  <r>
    <x v="53"/>
    <s v="Maison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3"/>
    <s v="Bureau - Aspinall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3"/>
    <s v="Aspinall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3"/>
    <s v="Bureau-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3"/>
    <s v="Taxi: Bureau - Societé d'assurances SUNU/ paiement assurance multirisque bureau PALF"/>
    <s v="Transport local"/>
    <s v="Office"/>
    <n v="1000"/>
    <n v="1.867727535907062"/>
    <n v="535.41"/>
    <s v="Parfaite"/>
    <s v="P-M-D1"/>
    <s v="PALF"/>
    <x v="3"/>
    <s v="CONGO"/>
    <m/>
    <m/>
    <m/>
  </r>
  <r>
    <x v="53"/>
    <s v="Taxi:  Societé d'assurances SUNU-Bureau"/>
    <s v="Transport local"/>
    <s v="Office"/>
    <n v="1000"/>
    <n v="1.867727535907062"/>
    <n v="535.41"/>
    <s v="Parfaite"/>
    <s v="P-M-D1"/>
    <s v="PALF"/>
    <x v="3"/>
    <s v="CONGO"/>
    <m/>
    <m/>
    <m/>
  </r>
  <r>
    <x v="53"/>
    <s v="Taxi domicile-agence,départ mission"/>
    <s v="Transport local"/>
    <s v="Investigation"/>
    <n v="1500"/>
    <n v="2.8015913038605929"/>
    <n v="535.41"/>
    <s v="P29"/>
    <s v="P29-M-D1"/>
    <s v="PALF"/>
    <x v="3"/>
    <s v="CONGO"/>
    <m/>
    <m/>
    <m/>
  </r>
  <r>
    <x v="53"/>
    <s v="Taxi agence-hotel"/>
    <s v="Transport local"/>
    <s v="Investigation"/>
    <n v="500"/>
    <n v="0.93386376795353099"/>
    <n v="535.41"/>
    <s v="P29"/>
    <s v="P29-M-D1"/>
    <s v="PALF"/>
    <x v="3"/>
    <s v="CONGO"/>
    <m/>
    <m/>
    <m/>
  </r>
  <r>
    <x v="53"/>
    <s v="P29 - CONGO Ration  du 19/03 au 05/04/2025 à ouesso,pokola (17 Nuitées)"/>
    <s v="Travel subsistence"/>
    <s v="Investigation"/>
    <n v="170000"/>
    <n v="317.51368110420054"/>
    <n v="535.41"/>
    <s v="P29"/>
    <s v="P29-M-D4"/>
    <s v="PALF"/>
    <x v="3"/>
    <s v="CONGO"/>
    <m/>
    <m/>
    <m/>
  </r>
  <r>
    <x v="53"/>
    <s v="Taxi : hotel - port (prospecton)"/>
    <s v="Transport local"/>
    <s v="Investigation"/>
    <n v="500"/>
    <n v="0.93386376795353099"/>
    <n v="535.41"/>
    <s v="T73"/>
    <s v="T73-M-D1"/>
    <s v="PALF"/>
    <x v="3"/>
    <s v="CONGO"/>
    <m/>
    <m/>
    <m/>
  </r>
  <r>
    <x v="53"/>
    <s v="Taxi : port - centre ville (prospecton)"/>
    <s v="Transport local"/>
    <s v="Investigation"/>
    <n v="500"/>
    <n v="0.93386376795353099"/>
    <n v="535.41"/>
    <s v="T73"/>
    <s v="T73-M-D1"/>
    <s v="PALF"/>
    <x v="3"/>
    <s v="CONGO"/>
    <m/>
    <m/>
    <m/>
  </r>
  <r>
    <x v="53"/>
    <s v="Taxi : centre ville - zone Macdo(prospecton)"/>
    <s v="Transport local"/>
    <s v="Investigation"/>
    <n v="500"/>
    <n v="0.93386376795353099"/>
    <n v="535.41"/>
    <s v="T73"/>
    <s v="T73-M-D1"/>
    <s v="PALF"/>
    <x v="3"/>
    <s v="CONGO"/>
    <m/>
    <m/>
    <m/>
  </r>
  <r>
    <x v="53"/>
    <s v="Taxi : zone Macdo - hotel(prospecton)"/>
    <s v="Transport local"/>
    <s v="Investigation"/>
    <n v="500"/>
    <n v="0.93386376795353099"/>
    <n v="535.41"/>
    <s v="T73"/>
    <s v="T73-M-D1"/>
    <s v="PALF"/>
    <x v="3"/>
    <s v="CONGO"/>
    <m/>
    <m/>
    <m/>
  </r>
  <r>
    <x v="53"/>
    <s v="Reglement frais d'assurance multi risque/Bureau PALF/3655254"/>
    <s v="Services"/>
    <s v="Office"/>
    <n v="217164"/>
    <n v="405.60318260772124"/>
    <n v="535.41"/>
    <s v="BCI"/>
    <s v="BQ-M-R31"/>
    <s v="PALF"/>
    <x v="3"/>
    <s v="CONGO"/>
    <m/>
    <m/>
    <m/>
  </r>
  <r>
    <x v="54"/>
    <s v="Maison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4"/>
    <s v="Bureau- 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54"/>
    <s v="Taxi:  Bureau- Charden farell/ transfert d'argent à  P29"/>
    <s v="Transport local"/>
    <s v="Office"/>
    <n v="500"/>
    <n v="0.93386376795353099"/>
    <n v="535.41"/>
    <s v="Parfaite"/>
    <s v="P-M-D1"/>
    <s v="PALF"/>
    <x v="3"/>
    <s v="CONGO"/>
    <m/>
    <m/>
    <m/>
  </r>
  <r>
    <x v="54"/>
    <s v="Taxi: Charden Farell-Bureau"/>
    <s v="Transport local"/>
    <s v="Office"/>
    <n v="500"/>
    <n v="0.93386376795353099"/>
    <n v="535.41"/>
    <s v="Parfaite"/>
    <s v="P-M-D1"/>
    <s v="PALF"/>
    <x v="3"/>
    <s v="CONGO"/>
    <m/>
    <m/>
    <m/>
  </r>
  <r>
    <x v="54"/>
    <s v="Taxi:  Bureau- Charden farell/ transfert d'argent à  T73"/>
    <s v="Transport local"/>
    <s v="Office"/>
    <n v="500"/>
    <n v="0.93386376795353099"/>
    <n v="535.41"/>
    <s v="Parfaite"/>
    <s v="P-M-D1"/>
    <s v="PALF"/>
    <x v="3"/>
    <s v="CONGO"/>
    <m/>
    <m/>
    <m/>
  </r>
  <r>
    <x v="54"/>
    <s v="Taxi: Charden Farell-Bureau"/>
    <s v="Transport local"/>
    <s v="Office"/>
    <n v="500"/>
    <n v="0.93386376795353099"/>
    <n v="535.41"/>
    <s v="Parfaite"/>
    <s v="P-M-D1"/>
    <s v="PALF"/>
    <x v="3"/>
    <s v="CONGO"/>
    <m/>
    <m/>
    <m/>
  </r>
  <r>
    <x v="54"/>
    <s v="Taxi hotel-port,départ pour pokola"/>
    <s v="Transport local"/>
    <s v="Investigation"/>
    <n v="500"/>
    <n v="0.93386376795353099"/>
    <n v="535.41"/>
    <s v="P29"/>
    <s v="P29-M-D1"/>
    <s v="PALF"/>
    <x v="3"/>
    <s v="CONGO"/>
    <m/>
    <m/>
    <m/>
  </r>
  <r>
    <x v="54"/>
    <s v="Pirroque ouesso-pokola"/>
    <s v="Transport local"/>
    <s v="Investigation"/>
    <n v="1000"/>
    <n v="1.867727535907062"/>
    <n v="535.41"/>
    <s v="P29"/>
    <s v="P29-M-D1"/>
    <s v="PALF"/>
    <x v="3"/>
    <s v="CONGO"/>
    <m/>
    <m/>
    <m/>
  </r>
  <r>
    <x v="54"/>
    <s v="Achat billet ouesso-pokola"/>
    <s v="Transport Interurbain"/>
    <s v="Investigation"/>
    <n v="2000"/>
    <n v="3.735455071814124"/>
    <n v="535.41"/>
    <s v="P29"/>
    <s v="P29-M-R14"/>
    <s v="PALF"/>
    <x v="3"/>
    <s v="CONGO"/>
    <m/>
    <m/>
    <m/>
  </r>
  <r>
    <x v="54"/>
    <s v="Taxi moto parking-hotel,arrivé à pokola"/>
    <s v="Transport local"/>
    <s v="Investigation"/>
    <n v="500"/>
    <n v="0.93386376795353099"/>
    <n v="535.41"/>
    <s v="P29"/>
    <s v="P29-M-D1"/>
    <s v="PALF"/>
    <x v="3"/>
    <s v="CONGO"/>
    <m/>
    <m/>
    <m/>
  </r>
  <r>
    <x v="54"/>
    <s v="Taxi moto hotel-pète,repérage lieu op"/>
    <s v="Transport local"/>
    <s v="Investigation"/>
    <n v="500"/>
    <n v="0.93386376795353099"/>
    <n v="535.41"/>
    <s v="P29"/>
    <s v="P29-M-D1"/>
    <s v="PALF"/>
    <x v="3"/>
    <s v="CONGO"/>
    <m/>
    <m/>
    <m/>
  </r>
  <r>
    <x v="54"/>
    <s v="Taxi moto pète-makassa,repérage lieu op"/>
    <s v="Transport local"/>
    <s v="Investigation"/>
    <n v="500"/>
    <n v="0.93386376795353099"/>
    <n v="535.41"/>
    <s v="P29"/>
    <s v="P29-M-D1"/>
    <s v="PALF"/>
    <x v="3"/>
    <s v="CONGO"/>
    <m/>
    <m/>
    <m/>
  </r>
  <r>
    <x v="54"/>
    <s v="Taxi moto makassa-ngamakosso,repérage lieu op"/>
    <s v="Transport local"/>
    <s v="Investigation"/>
    <n v="500"/>
    <n v="0.93386376795353099"/>
    <n v="535.41"/>
    <s v="P29"/>
    <s v="P29-M-D1"/>
    <s v="PALF"/>
    <x v="3"/>
    <s v="CONGO"/>
    <m/>
    <m/>
    <m/>
  </r>
  <r>
    <x v="54"/>
    <s v="Taxi moto ngamakosso-hotel"/>
    <s v="Transport local"/>
    <s v="Investigation"/>
    <n v="500"/>
    <n v="0.93386376795353099"/>
    <n v="535.41"/>
    <s v="P29"/>
    <s v="P29-M-D1"/>
    <s v="PALF"/>
    <x v="3"/>
    <s v="CONGO"/>
    <m/>
    <m/>
    <m/>
  </r>
  <r>
    <x v="54"/>
    <s v="P29 -CONGO Frais d'hotel du 19 au 20/03/2026 à ouesso(1 Nuitée)"/>
    <s v="Travel subsistence"/>
    <s v="Investigation"/>
    <n v="10000"/>
    <n v="18.67727535907062"/>
    <n v="535.41"/>
    <s v="P29"/>
    <s v="P29-M-R15"/>
    <s v="PALF"/>
    <x v="3"/>
    <s v="CONGO"/>
    <m/>
    <m/>
    <m/>
  </r>
  <r>
    <x v="54"/>
    <s v="Taxi : hotel - port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4"/>
    <s v="Taxi : port - hotel  (travailler sur les 3 DOCS)"/>
    <s v="Transport local"/>
    <s v="Investigation"/>
    <n v="500"/>
    <n v="0.93386376795353099"/>
    <n v="535.41"/>
    <s v="T73"/>
    <s v="T73-M-D1"/>
    <s v="PALF"/>
    <x v="3"/>
    <s v="CONGO"/>
    <m/>
    <m/>
    <m/>
  </r>
  <r>
    <x v="54"/>
    <s v="Taxi : hotel - charden farel  (recuperer les fond)"/>
    <s v="Transport local"/>
    <s v="Investigation"/>
    <n v="500"/>
    <n v="0.93386376795353099"/>
    <n v="535.41"/>
    <s v="T73"/>
    <s v="T73-M-D1"/>
    <s v="PALF"/>
    <x v="3"/>
    <s v="CONGO"/>
    <m/>
    <m/>
    <m/>
  </r>
  <r>
    <x v="54"/>
    <s v="Taxi : charden farel - hotel  (travail sur les 3 DOCS)"/>
    <s v="Transport local"/>
    <s v="Investigation"/>
    <n v="500"/>
    <n v="0.93386376795353099"/>
    <n v="535.41"/>
    <s v="T73"/>
    <s v="T73-M-D1"/>
    <s v="PALF"/>
    <x v="3"/>
    <s v="CONGO"/>
    <m/>
    <m/>
    <m/>
  </r>
  <r>
    <x v="54"/>
    <s v="Taxi : Bureau - Agence Ocean du nord/ Achat billet"/>
    <s v="Transport local"/>
    <s v="Investigation"/>
    <n v="1000"/>
    <n v="1.867727535907062"/>
    <n v="535.41"/>
    <s v="IT87"/>
    <s v="IT87-M-D1"/>
    <s v="PALF"/>
    <x v="3"/>
    <s v="CONGO"/>
    <m/>
    <m/>
    <m/>
  </r>
  <r>
    <x v="54"/>
    <s v="Achat billet Brazzaville - Sibiti/ IT87"/>
    <s v="Transport Interurbain"/>
    <s v="Investigation"/>
    <n v="9000"/>
    <n v="16.809547823163559"/>
    <n v="535.41"/>
    <s v="IT87"/>
    <s v="IT87-M-R18"/>
    <s v="PALF"/>
    <x v="3"/>
    <s v="CONGO"/>
    <m/>
    <m/>
    <m/>
  </r>
  <r>
    <x v="54"/>
    <s v="Taxi : Agence Ocean du nord - Domicile/ Retour d'achat billet"/>
    <s v="Transport local"/>
    <s v="Investigation"/>
    <n v="2500"/>
    <n v="4.669318839767655"/>
    <n v="535.41"/>
    <s v="IT87"/>
    <s v="IT87-M-D1"/>
    <s v="PALF"/>
    <x v="3"/>
    <s v="CONGO"/>
    <m/>
    <m/>
    <m/>
  </r>
  <r>
    <x v="55"/>
    <s v="Taxi moto hotel ngamakosso,reperege lieu op"/>
    <s v="Transport local"/>
    <s v="Investigation"/>
    <n v="500"/>
    <n v="0.93386376795353099"/>
    <n v="535.41"/>
    <s v="P29"/>
    <s v="P29-M-D1"/>
    <s v="PALF"/>
    <x v="3"/>
    <s v="CONGO"/>
    <m/>
    <m/>
    <m/>
  </r>
  <r>
    <x v="55"/>
    <s v="Taxi moto ngamakosso-makassa,reperage lieu op"/>
    <s v="Transport local"/>
    <s v="Investigation"/>
    <n v="500"/>
    <n v="0.93386376795353099"/>
    <n v="535.41"/>
    <s v="P29"/>
    <s v="P29-M-D1"/>
    <s v="PALF"/>
    <x v="3"/>
    <s v="CONGO"/>
    <m/>
    <m/>
    <m/>
  </r>
  <r>
    <x v="55"/>
    <s v="Taxi moto makassa-cib,reperage lieu op"/>
    <s v="Transport local"/>
    <s v="Investigation"/>
    <n v="500"/>
    <n v="0.93386376795353099"/>
    <n v="535.41"/>
    <s v="P29"/>
    <s v="P29-M-D1"/>
    <s v="PALF"/>
    <x v="3"/>
    <s v="CONGO"/>
    <m/>
    <m/>
    <m/>
  </r>
  <r>
    <x v="55"/>
    <s v="Taxi moto cib-hotel"/>
    <s v="Transport local"/>
    <s v="Investigation"/>
    <n v="500"/>
    <n v="0.93386376795353099"/>
    <n v="535.41"/>
    <s v="P29"/>
    <s v="P29-M-D1"/>
    <s v="PALF"/>
    <x v="3"/>
    <s v="CONGO"/>
    <m/>
    <m/>
    <m/>
  </r>
  <r>
    <x v="55"/>
    <s v="T73 - CONGO Frais d'hotel du 17 au 21/03/2026 à Ouesso (04 Nuitées)"/>
    <s v="Travel subsistence"/>
    <s v="Investigation"/>
    <n v="40000"/>
    <n v="74.709101436282481"/>
    <n v="535.41"/>
    <s v="T73"/>
    <s v="T73-M-R22"/>
    <s v="PALF"/>
    <x v="3"/>
    <s v="CONGO"/>
    <m/>
    <m/>
    <m/>
  </r>
  <r>
    <x v="55"/>
    <s v="Taxi : hotel - port ( départ pour pokola)"/>
    <s v="Transport local"/>
    <s v="Investigation"/>
    <n v="500"/>
    <n v="0.93386376795353099"/>
    <n v="535.41"/>
    <s v="T73"/>
    <s v="T73-M-D1"/>
    <s v="PALF"/>
    <x v="3"/>
    <s v="CONGO"/>
    <m/>
    <m/>
    <m/>
  </r>
  <r>
    <x v="55"/>
    <s v="Achat billet : Ouesso - Pokola"/>
    <s v="Transport Interurbain"/>
    <s v="Investigation"/>
    <n v="2000"/>
    <n v="3.735455071814124"/>
    <n v="535.41"/>
    <s v="T73"/>
    <s v="T73-M-R23"/>
    <s v="PALF"/>
    <x v="3"/>
    <s v="CONGO"/>
    <m/>
    <m/>
    <m/>
  </r>
  <r>
    <x v="55"/>
    <s v="Traverser rivière sangha"/>
    <s v="Transport local"/>
    <s v="Investigation"/>
    <n v="1000"/>
    <n v="1.867727535907062"/>
    <n v="535.41"/>
    <s v="T73"/>
    <s v="T73-M-D1"/>
    <s v="PALF"/>
    <x v="3"/>
    <s v="CONGO"/>
    <m/>
    <m/>
    <m/>
  </r>
  <r>
    <x v="55"/>
    <s v="Taxi moto : gare routière - marché (attente )"/>
    <s v="Transport local"/>
    <s v="Investigation"/>
    <n v="500"/>
    <n v="0.93386376795353099"/>
    <n v="535.41"/>
    <s v="T73"/>
    <s v="T73-M-D1"/>
    <s v="PALF"/>
    <x v="3"/>
    <s v="CONGO"/>
    <m/>
    <m/>
    <m/>
  </r>
  <r>
    <x v="55"/>
    <s v="Taxi moto : marché - hotel (fin de journée )"/>
    <s v="Transport local"/>
    <s v="Investigation"/>
    <n v="500"/>
    <n v="0.93386376795353099"/>
    <n v="535.41"/>
    <s v="T73"/>
    <s v="T73-M-D1"/>
    <s v="PALF"/>
    <x v="3"/>
    <s v="CONGO"/>
    <m/>
    <m/>
    <m/>
  </r>
  <r>
    <x v="55"/>
    <s v="IT87- CONGO Ration du 21 au 28/03/2026 à Sibiti, Zanaga, Dolisie"/>
    <s v="Travel subsistence"/>
    <s v="Investigation"/>
    <n v="70000"/>
    <n v="130.74092751349434"/>
    <n v="535.41"/>
    <s v="IT87"/>
    <s v="IT87-M-D5"/>
    <s v="PALF"/>
    <x v="3"/>
    <s v="CONGO"/>
    <m/>
    <m/>
    <m/>
  </r>
  <r>
    <x v="55"/>
    <s v="Taxi : Domicile - Agence Ocean du nord/ Départ pour Sibiti"/>
    <s v="Transport local"/>
    <s v="Investigation"/>
    <n v="2500"/>
    <n v="4.669318839767655"/>
    <n v="535.41"/>
    <s v="IT87"/>
    <s v="IT87-M-D1"/>
    <s v="PALF"/>
    <x v="3"/>
    <s v="CONGO"/>
    <m/>
    <m/>
    <m/>
  </r>
  <r>
    <x v="55"/>
    <s v="Taxi moto : Agence Ocean du nord - Hôtel Papyrus/ Arrivé à Sibiti"/>
    <s v="Transport local"/>
    <s v="Investigation"/>
    <n v="500"/>
    <n v="0.93386376795353099"/>
    <n v="535.41"/>
    <s v="IT87"/>
    <s v="IT87-M-D1"/>
    <s v="PALF"/>
    <x v="3"/>
    <s v="CONGO"/>
    <m/>
    <m/>
    <m/>
  </r>
  <r>
    <x v="56"/>
    <s v="Taxi moto : hotel - grande avenue (fin de journée )"/>
    <s v="Transport local"/>
    <s v="Investigation"/>
    <n v="500"/>
    <n v="0.93386376795353099"/>
    <n v="535.41"/>
    <s v="T73"/>
    <s v="T73-M-D1"/>
    <s v="PALF"/>
    <x v="3"/>
    <s v="CONGO"/>
    <m/>
    <m/>
    <m/>
  </r>
  <r>
    <x v="56"/>
    <s v="T73 - CONGO Frais d'hotel du 21 au 22/03/2026 à Pokola (01 Nuitée)"/>
    <s v="Travel subsistence"/>
    <s v="Investigation"/>
    <n v="10000"/>
    <n v="18.67727535907062"/>
    <n v="535.41"/>
    <s v="T73"/>
    <s v="T73-M-R41"/>
    <s v="PALF"/>
    <x v="3"/>
    <s v="CONGO"/>
    <m/>
    <m/>
    <m/>
  </r>
  <r>
    <x v="56"/>
    <s v="location moto : Pokola - Mboua (départ pour Mboua en prenant une autre moto au village ndoki)"/>
    <s v="Transport Interurbain"/>
    <s v="Investigation"/>
    <n v="20000"/>
    <n v="37.35455071814124"/>
    <n v="535.41"/>
    <s v="T73"/>
    <s v="T73-M-R24"/>
    <s v="PALF"/>
    <x v="3"/>
    <s v="CONGO"/>
    <m/>
    <m/>
    <m/>
  </r>
  <r>
    <x v="56"/>
    <s v="Taxi moto : Hôtel - Gare routière/ Départ pour Zanaga"/>
    <s v="Transport local"/>
    <s v="Investigation"/>
    <n v="500"/>
    <n v="0.93386376795353099"/>
    <n v="535.41"/>
    <s v="IT87"/>
    <s v="IT87-M-D1"/>
    <s v="PALF"/>
    <x v="3"/>
    <s v="CONGO"/>
    <m/>
    <m/>
    <m/>
  </r>
  <r>
    <x v="56"/>
    <s v="Taxi moto : Grae routière - Hôtel/ Renvoi du voyage"/>
    <s v="Transport local"/>
    <s v="Investigation"/>
    <n v="500"/>
    <n v="0.93386376795353099"/>
    <n v="535.41"/>
    <s v="IT87"/>
    <s v="IT87-M-D1"/>
    <s v="PALF"/>
    <x v="3"/>
    <s v="CONGO"/>
    <m/>
    <m/>
    <m/>
  </r>
  <r>
    <x v="57"/>
    <s v="Maison 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7"/>
    <s v="Bureau-Parc Zoologique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7"/>
    <s v="Parc Zoologique - 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7"/>
    <s v="Bureau-WWF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7"/>
    <s v="WWF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7"/>
    <s v="Bureau - 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7"/>
    <s v="Frais de tansfert d'argent  à IT87 par momo"/>
    <s v="Transfert fees"/>
    <s v="Office"/>
    <n v="2520"/>
    <n v="4.706673390485796"/>
    <n v="535.41"/>
    <s v="Parfaite"/>
    <s v="CA-M-R15"/>
    <s v="PALF"/>
    <x v="3"/>
    <s v="CONGO"/>
    <m/>
    <m/>
    <m/>
  </r>
  <r>
    <x v="57"/>
    <s v="Taxi: Bureau- Direction MTN / transfert d'argent à IT87"/>
    <s v="Transport local"/>
    <s v="Office"/>
    <n v="1000"/>
    <n v="1.867727535907062"/>
    <n v="535.41"/>
    <s v="Parfaite"/>
    <s v="P-M-D1"/>
    <s v="PALF"/>
    <x v="3"/>
    <s v="CONGO"/>
    <m/>
    <m/>
    <m/>
  </r>
  <r>
    <x v="57"/>
    <s v="Taxi: Direction MTN - Bureau"/>
    <s v="Transport local"/>
    <s v="Office"/>
    <n v="1000"/>
    <n v="1.867727535907062"/>
    <n v="535.41"/>
    <s v="Parfaite"/>
    <s v="P-M-D1"/>
    <s v="PALF"/>
    <x v="3"/>
    <s v="CONGO"/>
    <m/>
    <m/>
    <m/>
  </r>
  <r>
    <x v="57"/>
    <s v="Taxi moto : Mboua - village Mpene (vérifcation produit Pluie dimi tour pour Mboua)/A/R"/>
    <s v="Transport Interurbain"/>
    <s v="Investigation"/>
    <n v="8000"/>
    <n v="14.941820287256496"/>
    <n v="535.41"/>
    <s v="T73"/>
    <s v="T73-M-R25"/>
    <s v="PALF"/>
    <x v="3"/>
    <s v="CONGO"/>
    <m/>
    <m/>
    <m/>
  </r>
  <r>
    <x v="57"/>
    <s v="IT87- CONGO Frais d'hôtel  du 21 au 23/03/2026 à Sibiti (02 Nuitées)"/>
    <s v="Travel subsistence"/>
    <s v="Investigation"/>
    <n v="20000"/>
    <n v="37.35455071814124"/>
    <n v="535.41"/>
    <s v="IT87"/>
    <s v="IT87-M-R19"/>
    <s v="PALF"/>
    <x v="3"/>
    <s v="CONGO"/>
    <m/>
    <m/>
    <m/>
  </r>
  <r>
    <x v="57"/>
    <s v="Taxi moto : Hôtel - Gare routière/ Départ pour Zanaga"/>
    <s v="Transport local"/>
    <s v="Investigation"/>
    <n v="500"/>
    <n v="0.93386376795353099"/>
    <n v="535.41"/>
    <s v="IT87"/>
    <s v="IT87-M-D1"/>
    <s v="PALF"/>
    <x v="3"/>
    <s v="CONGO"/>
    <m/>
    <m/>
    <m/>
  </r>
  <r>
    <x v="57"/>
    <s v="Achat billet Sibiti - Zanaga/ IT87"/>
    <s v="Transport Interurbain"/>
    <s v="Investigation"/>
    <n v="9000"/>
    <n v="16.809547823163559"/>
    <n v="535.41"/>
    <s v="IT87"/>
    <s v="IT87-M-R20"/>
    <s v="PALF"/>
    <x v="3"/>
    <s v="CONGO"/>
    <m/>
    <m/>
    <m/>
  </r>
  <r>
    <x v="57"/>
    <s v="Taxi moto : Gare routière - Hôtel Lewezo/ Arrivé à Zanaga"/>
    <s v="Transport local"/>
    <s v="Investigation"/>
    <n v="500"/>
    <n v="0.93386376795353099"/>
    <n v="535.41"/>
    <s v="IT87"/>
    <s v="IT87-M-D1"/>
    <s v="PALF"/>
    <x v="3"/>
    <s v="CONGO"/>
    <m/>
    <m/>
    <m/>
  </r>
  <r>
    <x v="57"/>
    <s v="Taxi moto : Hôtel - Restaurent Chez mère Ngouomo/ Rencontre avec la cible"/>
    <s v="Transport local"/>
    <s v="Investigation"/>
    <n v="500"/>
    <n v="0.93386376795353099"/>
    <n v="535.41"/>
    <s v="IT87"/>
    <s v="IT87-M-D1"/>
    <s v="PALF"/>
    <x v="3"/>
    <s v="CONGO"/>
    <m/>
    <m/>
    <m/>
  </r>
  <r>
    <x v="57"/>
    <s v="Taxi moto : Restaurant chez mère Ngouomo - Hôtel/ Retour du rendez-vous non tenu"/>
    <s v="Transport local"/>
    <s v="Investigation"/>
    <n v="500"/>
    <n v="0.93386376795353099"/>
    <n v="535.41"/>
    <s v="IT87"/>
    <s v="IT87-M-D1"/>
    <s v="PALF"/>
    <x v="3"/>
    <s v="CONGO"/>
    <m/>
    <m/>
    <m/>
  </r>
  <r>
    <x v="57"/>
    <s v="Taxi moto : Hôtel - Restaurent Chez mère Ngouomo/ Rencontre avec la cible"/>
    <s v="Transport local"/>
    <s v="Investigation"/>
    <n v="500"/>
    <n v="0.93386376795353099"/>
    <n v="535.41"/>
    <s v="IT87"/>
    <s v="IT87-M-D1"/>
    <s v="PALF"/>
    <x v="3"/>
    <s v="CONGO"/>
    <m/>
    <m/>
    <m/>
  </r>
  <r>
    <x v="57"/>
    <s v="Achat repas et boisons avec la cible"/>
    <s v="Trust building"/>
    <s v="Investigation"/>
    <n v="3400"/>
    <n v="6.3502736220840106"/>
    <n v="535.41"/>
    <s v="IT87"/>
    <s v="IT87-M-D2"/>
    <s v="PALF"/>
    <x v="3"/>
    <s v="CONGO"/>
    <m/>
    <m/>
    <m/>
  </r>
  <r>
    <x v="57"/>
    <s v="Taxi moto : Restaurant chez mère Ngouomo - Place de la république/ Extraction"/>
    <s v="Transport local"/>
    <s v="Investigation"/>
    <n v="500"/>
    <n v="0.93386376795353099"/>
    <n v="535.41"/>
    <s v="IT87"/>
    <s v="IT87-M-D1"/>
    <s v="PALF"/>
    <x v="3"/>
    <s v="CONGO"/>
    <m/>
    <m/>
    <m/>
  </r>
  <r>
    <x v="57"/>
    <s v="Taxi moto : Place de la république - Hôtel/ Retour du rendez-vous"/>
    <s v="Transport local"/>
    <s v="Investigation"/>
    <n v="500"/>
    <n v="0.93386376795353099"/>
    <n v="535.41"/>
    <s v="IT87"/>
    <s v="IT87-M-D1"/>
    <s v="PALF"/>
    <x v="3"/>
    <s v="CONGO"/>
    <m/>
    <m/>
    <m/>
  </r>
  <r>
    <x v="58"/>
    <s v="Reglement assurance retraite Coordinateur periode Novembre, Décembre 2025 et Janvier 2026"/>
    <s v="Personnel"/>
    <s v="Management"/>
    <n v="150000"/>
    <n v="281.57452760896928"/>
    <n v="532.71864210781655"/>
    <s v="DOVI"/>
    <s v="CA-M-R17"/>
    <s v="PALF"/>
    <x v="3"/>
    <s v="CONGO"/>
    <m/>
    <m/>
    <m/>
  </r>
  <r>
    <x v="58"/>
    <s v="Maison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8"/>
    <s v="Bureau- 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8"/>
    <s v="Credit telephonique MTN/PALF/ du 25 au 31 Mars 2026/ DOVI"/>
    <s v="Telephone"/>
    <s v="Management"/>
    <n v="10000"/>
    <n v="19.25480302035654"/>
    <n v="519.35093749999999"/>
    <s v="DOVI"/>
    <s v="DH-M-R5"/>
    <s v="PALF"/>
    <x v="3"/>
    <s v="CONGO"/>
    <m/>
    <m/>
    <m/>
  </r>
  <r>
    <x v="58"/>
    <s v="Credit telephonique MTN PALF/du 25   au 31 Mars 2026/Legal/ crepin"/>
    <s v="Telephone"/>
    <s v="Legal"/>
    <n v="7500"/>
    <n v="14.007956519302965"/>
    <n v="535.41"/>
    <s v="Crépin"/>
    <s v="CR-M-R4"/>
    <s v="PALF"/>
    <x v="3"/>
    <s v="CONGO"/>
    <m/>
    <m/>
    <m/>
  </r>
  <r>
    <x v="58"/>
    <s v="Taxi: Bureau- Direction MTN / Achat crédit télephonique equipe PALF"/>
    <s v="Transport local"/>
    <s v="Office"/>
    <n v="1000"/>
    <n v="1.867727535907062"/>
    <n v="535.41"/>
    <s v="Parfaite"/>
    <s v="P-M-D1"/>
    <s v="PALF"/>
    <x v="3"/>
    <s v="CONGO"/>
    <m/>
    <m/>
    <m/>
  </r>
  <r>
    <x v="58"/>
    <s v="Taxi: Direction MTN -NSAI/paiement assurance rétraite coordinateur PALF"/>
    <s v="Transport local"/>
    <s v="Office"/>
    <n v="500"/>
    <n v="0.93386376795353099"/>
    <n v="535.41"/>
    <s v="Parfaite"/>
    <s v="P-M-D1"/>
    <s v="PALF"/>
    <x v="3"/>
    <s v="CONGO"/>
    <m/>
    <m/>
    <m/>
  </r>
  <r>
    <x v="58"/>
    <s v="Taxi: NSAI- Bureau"/>
    <s v="Transport local"/>
    <s v="Office"/>
    <n v="1000"/>
    <n v="1.867727535907062"/>
    <n v="535.41"/>
    <s v="Parfaite"/>
    <s v="P-M-D1"/>
    <s v="PALF"/>
    <x v="3"/>
    <s v="CONGO"/>
    <m/>
    <m/>
    <m/>
  </r>
  <r>
    <x v="58"/>
    <s v="Credit teléphonique MTN PALF/ du 25 au 31 Mars 2026/Management/ Parfaite"/>
    <s v="Telephone"/>
    <s v="Management"/>
    <n v="5000"/>
    <n v="9.3386376795353101"/>
    <n v="535.41"/>
    <s v="Parfaite"/>
    <s v="P-M-R4"/>
    <s v="PALF"/>
    <x v="3"/>
    <s v="CONGO"/>
    <m/>
    <m/>
    <m/>
  </r>
  <r>
    <x v="58"/>
    <s v="Taxi moto hotel-marché"/>
    <s v="Transport local"/>
    <s v="Investigation"/>
    <n v="500"/>
    <n v="0.93386376795353099"/>
    <n v="535.41"/>
    <s v="P29"/>
    <s v="P29-M-D1"/>
    <s v="PALF"/>
    <x v="3"/>
    <s v="CONGO"/>
    <m/>
    <m/>
    <m/>
  </r>
  <r>
    <x v="58"/>
    <s v="Achat billet pokola-Longa"/>
    <s v="Transport Interurbain"/>
    <s v="Investigation"/>
    <n v="3500"/>
    <n v="6.5370463756747172"/>
    <n v="535.41"/>
    <s v="P29"/>
    <s v="P29-M-R16"/>
    <s v="PALF"/>
    <x v="3"/>
    <s v="CONGO"/>
    <m/>
    <m/>
    <m/>
  </r>
  <r>
    <x v="58"/>
    <s v="Achat billet longa-pokola"/>
    <s v="Transport Interurbain"/>
    <s v="Investigation"/>
    <n v="3500"/>
    <n v="6.5370463756747172"/>
    <n v="535.41"/>
    <s v="P29"/>
    <s v="P29-M-R17"/>
    <s v="PALF"/>
    <x v="3"/>
    <s v="CONGO"/>
    <m/>
    <m/>
    <m/>
  </r>
  <r>
    <x v="58"/>
    <s v="Taxi moto quartier3-selio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58"/>
    <s v="Taxi moto selio-marché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58"/>
    <s v="Taxi moto marché-quartier2"/>
    <s v="Transport local"/>
    <s v="Investigation"/>
    <n v="500"/>
    <n v="0.93386376795353099"/>
    <n v="535.41"/>
    <s v="P29"/>
    <s v="P29-M-D1"/>
    <s v="PALF"/>
    <x v="3"/>
    <s v="CONGO"/>
    <m/>
    <m/>
    <m/>
  </r>
  <r>
    <x v="58"/>
    <s v="Achat boisson"/>
    <s v="Trust building"/>
    <s v="Investigation"/>
    <n v="2000"/>
    <n v="3.735455071814124"/>
    <n v="535.41"/>
    <s v="P29"/>
    <s v="P29-M-D5"/>
    <s v="PALF"/>
    <x v="3"/>
    <s v="CONGO"/>
    <m/>
    <m/>
    <m/>
  </r>
  <r>
    <x v="58"/>
    <s v="Credit telephonique MTN PALF/ du 25 au 31 Mars 2026/ Investigation/P29"/>
    <s v="Telephone"/>
    <s v="Investigation"/>
    <n v="7500"/>
    <n v="14.007956519302965"/>
    <n v="535.41"/>
    <s v="P29"/>
    <s v="P29-M-R18"/>
    <s v="PALF"/>
    <x v="3"/>
    <s v="CONGO"/>
    <m/>
    <m/>
    <m/>
  </r>
  <r>
    <x v="58"/>
    <s v="Taxi moto : Mboua - village Mbossa (rencontrer le chauffeur pour aller à Mpéné)"/>
    <s v="Transport Interurbain"/>
    <s v="Investigation"/>
    <n v="2000"/>
    <n v="3.735455071814124"/>
    <n v="535.41"/>
    <s v="T73"/>
    <s v="T73-M-R26"/>
    <s v="PALF"/>
    <x v="3"/>
    <s v="CONGO"/>
    <m/>
    <m/>
    <m/>
  </r>
  <r>
    <x v="58"/>
    <s v="Taxi moto : Mbossa - village Mpene (vérifcation produit pour une deuxième fois)"/>
    <s v="Transport Interurbain"/>
    <s v="Investigation"/>
    <n v="6000"/>
    <n v="11.206365215442371"/>
    <n v="535.41"/>
    <s v="T73"/>
    <s v="T73-M-R27"/>
    <s v="PALF"/>
    <x v="3"/>
    <s v="CONGO"/>
    <m/>
    <m/>
    <m/>
  </r>
  <r>
    <x v="58"/>
    <s v="Credit telephonique MTN PALF/ du 25 au 31 Mras 2026/ Investigation/T73"/>
    <s v="Telephone"/>
    <s v="Investigation"/>
    <n v="7500"/>
    <n v="14.007956519302965"/>
    <n v="535.41"/>
    <s v="T73"/>
    <s v="T73-M-R28"/>
    <s v="PALF"/>
    <x v="3"/>
    <s v="CONGO"/>
    <m/>
    <m/>
    <m/>
  </r>
  <r>
    <x v="58"/>
    <s v="Taxi moto : Hôtel - Avenue principal/ Rencontrer la cible"/>
    <s v="Transport local"/>
    <s v="Investigation"/>
    <n v="500"/>
    <n v="0.93386376795353099"/>
    <n v="535.41"/>
    <s v="IT87"/>
    <s v="IT87-M-D1"/>
    <s v="PALF"/>
    <x v="3"/>
    <s v="CONGO"/>
    <m/>
    <m/>
    <m/>
  </r>
  <r>
    <x v="58"/>
    <s v="Taxi moto : Zanaga - Village Obili/ Rencontrer la cible "/>
    <s v="Transport local"/>
    <s v="Investigation"/>
    <n v="3500"/>
    <n v="6.5370463756747172"/>
    <n v="535.41"/>
    <s v="IT87"/>
    <s v="IT87-M-D1"/>
    <s v="PALF"/>
    <x v="3"/>
    <s v="CONGO"/>
    <m/>
    <m/>
    <m/>
  </r>
  <r>
    <x v="58"/>
    <s v="Achat boissons avec 2 cibles"/>
    <s v="Trust building"/>
    <s v="Investigation"/>
    <n v="3000"/>
    <n v="5.6031826077211857"/>
    <n v="535.41"/>
    <s v="IT87"/>
    <s v="IT87-M-D2"/>
    <s v="PALF"/>
    <x v="3"/>
    <s v="CONGO"/>
    <m/>
    <m/>
    <m/>
  </r>
  <r>
    <x v="58"/>
    <s v="Taxi moto : Village Obili - Zanaga/ Retour de la rencontre avec les cibles"/>
    <s v="Transport local"/>
    <s v="Investigation"/>
    <n v="3500"/>
    <n v="6.5370463756747172"/>
    <n v="535.41"/>
    <s v="IT87"/>
    <s v="IT87-M-D1"/>
    <s v="PALF"/>
    <x v="3"/>
    <s v="CONGO"/>
    <m/>
    <m/>
    <m/>
  </r>
  <r>
    <x v="58"/>
    <s v="Taxi moto : Parking - Hôtel/ Arrivé à Zanaga"/>
    <s v="Transport local"/>
    <s v="Investigation"/>
    <n v="500"/>
    <n v="0.93386376795353099"/>
    <n v="535.41"/>
    <s v="IT87"/>
    <s v="IT87-M-D1"/>
    <s v="PALF"/>
    <x v="3"/>
    <s v="CONGO"/>
    <m/>
    <m/>
    <m/>
  </r>
  <r>
    <x v="58"/>
    <s v="Credit telephonique MTN PALF/du 25 au 31 Mars 2026/Investigation/IT87"/>
    <s v="Telephone"/>
    <s v="Investigation"/>
    <n v="7500"/>
    <n v="14.007956519302965"/>
    <n v="535.41"/>
    <s v="IT87"/>
    <s v="IT87-M-R21"/>
    <s v="PALF"/>
    <x v="3"/>
    <s v="CONGO"/>
    <m/>
    <m/>
    <m/>
  </r>
  <r>
    <x v="58"/>
    <s v="Credit telephonique MTN PALF/ du 25 au 31 Mars 2026/Legal//Donald-Roméo"/>
    <s v="Telephone"/>
    <s v="Legal"/>
    <n v="7500"/>
    <n v="14.007956519302965"/>
    <n v="535.41"/>
    <s v="Donald-Romeo"/>
    <s v="DR-M-R4"/>
    <s v="PALF"/>
    <x v="3"/>
    <s v="CONGO"/>
    <m/>
    <m/>
    <m/>
  </r>
  <r>
    <x v="58"/>
    <s v="Credit telephonique MTN PALF/du 25 au 31 Mars 2026/Evariste/ Evariste"/>
    <s v="Telephone"/>
    <s v="Media"/>
    <n v="7500"/>
    <n v="14.007956519302965"/>
    <n v="535.41"/>
    <s v="Evariste"/>
    <s v="EV-M-R4"/>
    <s v="PALF"/>
    <x v="3"/>
    <s v="CONGO"/>
    <m/>
    <m/>
    <m/>
  </r>
  <r>
    <x v="58"/>
    <s v="Achat carburant groupe electrogène Bureau "/>
    <s v="Office Materiels"/>
    <s v="Office"/>
    <n v="62500"/>
    <n v="116.73297099419138"/>
    <n v="535.41"/>
    <s v="Romain"/>
    <s v="CA-M-R16"/>
    <s v="PALF"/>
    <x v="3"/>
    <s v="CONGO"/>
    <m/>
    <m/>
    <m/>
  </r>
  <r>
    <x v="58"/>
    <s v="Credit telephonique MTN PALF/du 25 au 31 Mars 2026/Legal/Romain"/>
    <s v="Telephone"/>
    <s v="Legal"/>
    <n v="5000"/>
    <n v="9.3386376795353101"/>
    <n v="535.41"/>
    <s v="Romain"/>
    <s v="RM-M-R4"/>
    <s v="PALF"/>
    <x v="3"/>
    <s v="CONGO"/>
    <m/>
    <m/>
    <m/>
  </r>
  <r>
    <x v="59"/>
    <s v="Maison- 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9"/>
    <s v="Bureau-Region de gendarmerie de Brazzaville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9"/>
    <s v="Région de gendarmerie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9"/>
    <s v="Bureau- Aspinall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9"/>
    <s v="Aspinall- 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9"/>
    <s v="Bureau-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9"/>
    <s v="Frais de tansfert d'argent  à IT87 par momo"/>
    <s v="Transfert fees"/>
    <s v="Office"/>
    <n v="1610"/>
    <n v="3.00704133281037"/>
    <n v="535.41"/>
    <s v="Parfaite"/>
    <s v="CA-M-R18"/>
    <s v="PALF"/>
    <x v="3"/>
    <s v="CONGO"/>
    <m/>
    <m/>
    <m/>
  </r>
  <r>
    <x v="59"/>
    <s v="Achat de 04 ampoule à crochet"/>
    <s v="Office Materiels"/>
    <s v="Office"/>
    <n v="10000"/>
    <n v="18.67727535907062"/>
    <n v="535.41"/>
    <s v="Parfaite"/>
    <s v="CA-M-R19"/>
    <s v="PALF"/>
    <x v="3"/>
    <s v="CONGO"/>
    <m/>
    <m/>
    <m/>
  </r>
  <r>
    <x v="59"/>
    <s v="Taxi: Bureau- Direction MTN / transfert d'argent à IT87"/>
    <s v="Transport local"/>
    <s v="Office"/>
    <n v="1000"/>
    <n v="1.867727535907062"/>
    <n v="535.41"/>
    <s v="Parfaite"/>
    <s v="P-M-D1"/>
    <s v="PALF"/>
    <x v="3"/>
    <s v="CONGO"/>
    <m/>
    <m/>
    <m/>
  </r>
  <r>
    <x v="59"/>
    <s v="Taxi: Direction MTN - Bureau"/>
    <s v="Transport local"/>
    <s v="Office"/>
    <n v="1000"/>
    <n v="1.867727535907062"/>
    <n v="535.41"/>
    <s v="Parfaite"/>
    <s v="P-M-D1"/>
    <s v="PALF"/>
    <x v="3"/>
    <s v="CONGO"/>
    <m/>
    <m/>
    <m/>
  </r>
  <r>
    <x v="59"/>
    <s v="Taxi: Bureau- Marche mounglie / achat ampoule bureau PALF"/>
    <s v="Transport local"/>
    <s v="Office"/>
    <n v="1000"/>
    <n v="1.867727535907062"/>
    <n v="535.41"/>
    <s v="Parfaite"/>
    <s v="P-M-D1"/>
    <s v="PALF"/>
    <x v="3"/>
    <s v="CONGO"/>
    <m/>
    <m/>
    <m/>
  </r>
  <r>
    <x v="59"/>
    <s v="Taxi: Marché moungalie  - Bureau"/>
    <s v="Transport local"/>
    <s v="Office"/>
    <n v="1000"/>
    <n v="1.867727535907062"/>
    <n v="535.41"/>
    <s v="Parfaite"/>
    <s v="P-M-D1"/>
    <s v="PALF"/>
    <x v="3"/>
    <s v="CONGO"/>
    <m/>
    <m/>
    <m/>
  </r>
  <r>
    <x v="59"/>
    <s v="Achat boissons/ une cible"/>
    <s v="Trust building"/>
    <s v="Investigation"/>
    <n v="3500"/>
    <n v="6.5370463756747172"/>
    <n v="535.41"/>
    <s v="T73"/>
    <s v="T73-M-D2"/>
    <s v="PALF"/>
    <x v="3"/>
    <s v="CONGO"/>
    <m/>
    <m/>
    <m/>
  </r>
  <r>
    <x v="59"/>
    <s v="Taxi moto : village Mpene - village Béné (retour, deposer la cible)"/>
    <s v="Transport Interurbain"/>
    <s v="Investigation"/>
    <n v="4000"/>
    <n v="7.4709101436282479"/>
    <n v="535.41"/>
    <s v="T73"/>
    <s v="T73-M-R29"/>
    <s v="PALF"/>
    <x v="3"/>
    <s v="CONGO"/>
    <m/>
    <m/>
    <m/>
  </r>
  <r>
    <x v="59"/>
    <s v="Taxi moto : village Béné - Mboua (retour)"/>
    <s v="Transport Interurbain"/>
    <s v="Investigation"/>
    <n v="4000"/>
    <n v="7.4709101436282479"/>
    <n v="535.41"/>
    <s v="T73"/>
    <s v="T73-M-R30"/>
    <s v="PALF"/>
    <x v="3"/>
    <s v="CONGO"/>
    <m/>
    <m/>
    <m/>
  </r>
  <r>
    <x v="59"/>
    <s v="Taxi moto : Hôtel - Avenue principale (garage)/ Rencontre avec la cible"/>
    <s v="Transport local"/>
    <s v="Investigation"/>
    <n v="500"/>
    <n v="0.93386376795353099"/>
    <n v="535.41"/>
    <s v="IT87"/>
    <s v="IT87-M-D1"/>
    <s v="PALF"/>
    <x v="3"/>
    <s v="CONGO"/>
    <m/>
    <m/>
    <m/>
  </r>
  <r>
    <x v="59"/>
    <s v="Taxi moto : Avenue principale (garage) - Hôtel/ Retour du terrain"/>
    <s v="Transport local"/>
    <s v="Investigation"/>
    <n v="500"/>
    <n v="0.93386376795353099"/>
    <n v="535.41"/>
    <s v="IT87"/>
    <s v="IT87-M-D1"/>
    <s v="PALF"/>
    <x v="3"/>
    <s v="CONGO"/>
    <m/>
    <m/>
    <m/>
  </r>
  <r>
    <x v="59"/>
    <s v="Taxi Bureau- Agence océan du nord d'angola libre/ Achat billet pour sibiti"/>
    <s v="Transport local"/>
    <s v="Legal"/>
    <n v="1000"/>
    <n v="1.867727535907062"/>
    <n v="535.41"/>
    <s v="Donald-Romeo"/>
    <s v="DR-M-D1"/>
    <s v="PALF"/>
    <x v="3"/>
    <s v="CONGO"/>
    <m/>
    <m/>
    <m/>
  </r>
  <r>
    <x v="59"/>
    <s v="Taxi  Agence océan du nord d'angola libre-Bureau"/>
    <s v="Transport local"/>
    <s v="Legal"/>
    <n v="1000"/>
    <n v="1.867727535907062"/>
    <n v="535.41"/>
    <s v="Donald-Romeo"/>
    <s v="DR-M-D1"/>
    <s v="PALF"/>
    <x v="3"/>
    <s v="CONGO"/>
    <m/>
    <m/>
    <m/>
  </r>
  <r>
    <x v="59"/>
    <s v="Achat billet Brazzaville-Sibiti/ Donald-Roméo"/>
    <s v="Transport Interurbain"/>
    <s v="Legal"/>
    <n v="9000"/>
    <n v="16.809547823163559"/>
    <n v="535.41"/>
    <s v="Donald-Romeo"/>
    <s v="DR-M-R5"/>
    <s v="PALF"/>
    <x v="3"/>
    <s v="CONGO"/>
    <m/>
    <m/>
    <m/>
  </r>
  <r>
    <x v="59"/>
    <s v="Taxi: Bureau-Agence Trans Bony de la Frontière pour la reservation du billet"/>
    <s v="Transport local"/>
    <s v="Legal"/>
    <n v="1000"/>
    <n v="1.867727535907062"/>
    <n v="535.41"/>
    <s v="Romain"/>
    <s v="RM-M-D1"/>
    <s v="PALF"/>
    <x v="3"/>
    <s v="CONGO"/>
    <m/>
    <m/>
    <m/>
  </r>
  <r>
    <x v="59"/>
    <s v="Achat  billet Brazzaville-Madingou/ Romain"/>
    <s v="Transport Interurbain"/>
    <s v="Legal"/>
    <n v="7000"/>
    <n v="13.074092751349434"/>
    <n v="535.41"/>
    <s v="Romain"/>
    <s v="RM-M-R5"/>
    <s v="PALF"/>
    <x v="3"/>
    <s v="CONGO"/>
    <m/>
    <m/>
    <m/>
  </r>
  <r>
    <x v="59"/>
    <s v="Taxi: Trans Bony de la Frontière-Bureau"/>
    <s v="Transport local"/>
    <s v="Legal"/>
    <n v="1000"/>
    <n v="1.867727535907062"/>
    <n v="535.41"/>
    <s v="Romain"/>
    <s v="RM-M-D1"/>
    <s v="PALF"/>
    <x v="3"/>
    <s v="CONGO"/>
    <m/>
    <m/>
    <m/>
  </r>
  <r>
    <x v="60"/>
    <s v="Maison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0"/>
    <s v="Bureau - Parc Zoologique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0"/>
    <s v="Parc Zoologique - 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0"/>
    <s v="Bureau-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0"/>
    <s v="Frais de tansfert d'argent  à P29 et T73 par par momo"/>
    <s v="Transfert fees"/>
    <s v="Office"/>
    <n v="6160"/>
    <n v="11.505201621187501"/>
    <n v="535.41"/>
    <s v="Parfaite"/>
    <s v="CA-M-R20"/>
    <s v="PALF"/>
    <x v="3"/>
    <s v="CONGO"/>
    <m/>
    <m/>
    <m/>
  </r>
  <r>
    <x v="60"/>
    <s v="Frais de photocopie de ordre de paiement et la decharge"/>
    <s v="Office Materiels"/>
    <s v="Office"/>
    <n v="3750"/>
    <n v="7.0039782596514826"/>
    <n v="535.41"/>
    <s v="Parfaite"/>
    <s v="CA-M-R21"/>
    <s v="PALF"/>
    <x v="3"/>
    <s v="CONGO"/>
    <m/>
    <m/>
    <m/>
  </r>
  <r>
    <x v="60"/>
    <s v="Taxi: Bureau -Banque BCI/Rétrait espèces et depot d'ordre de virement salaire du mois de mars 2026"/>
    <s v="Transport local"/>
    <s v="Office"/>
    <n v="1000"/>
    <n v="1.867727535907062"/>
    <n v="535.41"/>
    <s v="Parfaite"/>
    <s v="P-M-D1"/>
    <s v="PALF"/>
    <x v="3"/>
    <s v="CONGO"/>
    <m/>
    <m/>
    <m/>
  </r>
  <r>
    <x v="60"/>
    <s v="Taxi: Banque BCI-Bureau"/>
    <s v="Transport local"/>
    <s v="Office"/>
    <n v="1000"/>
    <n v="1.867727535907062"/>
    <n v="535.41"/>
    <s v="Parfaite"/>
    <s v="P-M-D1"/>
    <s v="PALF"/>
    <x v="3"/>
    <s v="CONGO"/>
    <m/>
    <m/>
    <m/>
  </r>
  <r>
    <x v="60"/>
    <s v="Taxi: Bureau- Direction MTN / transfert d'argent à P29 et T73"/>
    <s v="Transport local"/>
    <s v="Office"/>
    <n v="1000"/>
    <n v="1.867727535907062"/>
    <n v="535.41"/>
    <s v="Parfaite"/>
    <s v="P-M-D1"/>
    <s v="PALF"/>
    <x v="3"/>
    <s v="CONGO"/>
    <m/>
    <m/>
    <m/>
  </r>
  <r>
    <x v="60"/>
    <s v="Taxi: Direction MTN - Bureau"/>
    <s v="Transport local"/>
    <s v="Office"/>
    <n v="1000"/>
    <n v="1.867727535907062"/>
    <n v="535.41"/>
    <s v="Parfaite"/>
    <s v="P-M-D1"/>
    <s v="PALF"/>
    <x v="3"/>
    <s v="CONGO"/>
    <m/>
    <m/>
    <m/>
  </r>
  <r>
    <x v="60"/>
    <s v="Taxi moto : Hôtel - Avenue principale (garage)/ Rencontre avec la cible"/>
    <s v="Transport local"/>
    <s v="Investigation"/>
    <n v="500"/>
    <n v="0.93386376795353099"/>
    <n v="535.41"/>
    <s v="IT87"/>
    <s v="IT87-M-D1"/>
    <s v="PALF"/>
    <x v="3"/>
    <s v="CONGO"/>
    <m/>
    <m/>
    <m/>
  </r>
  <r>
    <x v="60"/>
    <s v="Taxi moto : Avenue principale - Hôtel/ Retour de la rencontre avec la cible"/>
    <s v="Transport local"/>
    <s v="Investigation"/>
    <n v="500"/>
    <n v="0.93386376795353099"/>
    <n v="535.41"/>
    <s v="IT87"/>
    <s v="IT87-M-D1"/>
    <s v="PALF"/>
    <x v="3"/>
    <s v="CONGO"/>
    <m/>
    <m/>
    <m/>
  </r>
  <r>
    <x v="60"/>
    <s v="Taxi moto : Hôtel - Avenue principale (garage)/ Rencontrer la cible"/>
    <s v="Transport local"/>
    <s v="Investigation"/>
    <n v="500"/>
    <n v="0.93386376795353099"/>
    <n v="535.41"/>
    <s v="IT87"/>
    <s v="IT87-M-D1"/>
    <s v="PALF"/>
    <x v="3"/>
    <s v="CONGO"/>
    <m/>
    <m/>
    <m/>
  </r>
  <r>
    <x v="60"/>
    <s v="Taxi moto : Avenue principale - Parking/ Reservation du billet"/>
    <s v="Transport local"/>
    <s v="Investigation"/>
    <n v="500"/>
    <n v="0.93386376795353099"/>
    <n v="535.41"/>
    <s v="IT87"/>
    <s v="IT87-M-D1"/>
    <s v="PALF"/>
    <x v="3"/>
    <s v="CONGO"/>
    <m/>
    <m/>
    <m/>
  </r>
  <r>
    <x v="60"/>
    <s v="Taxi Domicile- Agence océan du nord d'angola libre/ pour sibiti"/>
    <s v="Transport local"/>
    <s v="Legal"/>
    <n v="1000"/>
    <n v="1.867727535907062"/>
    <n v="535.41"/>
    <s v="Donald-Romeo"/>
    <s v="DR-M-D1"/>
    <s v="PALF"/>
    <x v="3"/>
    <s v="CONGO"/>
    <m/>
    <m/>
    <m/>
  </r>
  <r>
    <x v="60"/>
    <s v="Taxi moto agence océan du Nord- Hôtel le Papyrus/ Sibiti"/>
    <s v="Transport local"/>
    <s v="Legal"/>
    <n v="500"/>
    <n v="0.93386376795353099"/>
    <n v="535.41"/>
    <s v="Donald-Romeo"/>
    <s v="DR-M-D1"/>
    <s v="PALF"/>
    <x v="3"/>
    <s v="CONGO"/>
    <m/>
    <m/>
    <m/>
  </r>
  <r>
    <x v="60"/>
    <s v="Donald-Roméo-CONGO Ration  du  26 au 29/03/2026 à Sibiti"/>
    <s v="Travel subsistence"/>
    <s v="Legal"/>
    <n v="30000"/>
    <n v="56.031826077211861"/>
    <n v="535.41"/>
    <s v="Donald-Romeo"/>
    <s v="DR-M-D3"/>
    <s v="PALF"/>
    <x v="3"/>
    <s v="CONGO"/>
    <m/>
    <m/>
    <m/>
  </r>
  <r>
    <x v="60"/>
    <s v="Taxi, Bureau PALF-DGEF"/>
    <s v="Transport local"/>
    <s v="Media"/>
    <n v="1000"/>
    <n v="1.867727535907062"/>
    <n v="535.41"/>
    <s v="Evariste"/>
    <s v="EV-M-D1"/>
    <s v="PALF"/>
    <x v="3"/>
    <s v="CONGO"/>
    <m/>
    <m/>
    <m/>
  </r>
  <r>
    <x v="60"/>
    <s v="Taxi: Domicle-Agence Trans Bony de la Frontère"/>
    <s v="Transport local"/>
    <s v="Legal"/>
    <n v="2000"/>
    <n v="3.735455071814124"/>
    <n v="535.41"/>
    <s v="Romain"/>
    <s v="RM-M-D1"/>
    <s v="PALF"/>
    <x v="3"/>
    <s v="CONGO"/>
    <m/>
    <m/>
    <m/>
  </r>
  <r>
    <x v="60"/>
    <s v="Taxi-moto: Agence Trans Bony de Madingou-Hotel Dzongo"/>
    <s v="Transport local"/>
    <s v="Legal"/>
    <n v="500"/>
    <n v="0.93386376795353099"/>
    <n v="535.41"/>
    <s v="Romain"/>
    <s v="RM-M-D1"/>
    <s v="PALF"/>
    <x v="3"/>
    <s v="CONGO"/>
    <m/>
    <m/>
    <m/>
  </r>
  <r>
    <x v="60"/>
    <s v="Taxi moto: Hotel DZONGO-Marché(pour acheter la ration du prevenu)"/>
    <s v="Transport local"/>
    <s v="Legal"/>
    <n v="500"/>
    <n v="0.93386376795353099"/>
    <n v="535.41"/>
    <s v="Romain"/>
    <s v="RM-M-D1"/>
    <s v="PALF"/>
    <x v="3"/>
    <s v="CONGO"/>
    <m/>
    <m/>
    <m/>
  </r>
  <r>
    <x v="60"/>
    <s v="Achat de la ration du détenu NTONDELE MOUKOKO Fulgence/ Commissariat de Police de Madingou/ Soir"/>
    <s v="jail visit"/>
    <s v="Legal"/>
    <n v="1500"/>
    <n v="2.8015913038605929"/>
    <n v="535.41"/>
    <s v="Romain"/>
    <s v="RM-M-D3"/>
    <s v="PALF"/>
    <x v="3"/>
    <s v="CONGO"/>
    <m/>
    <m/>
    <m/>
  </r>
  <r>
    <x v="60"/>
    <s v="Taxi moto: Commissariat de Police de Madingou-Hotel Dzongo"/>
    <s v="Transport local"/>
    <s v="Legal"/>
    <n v="500"/>
    <n v="0.93386376795353099"/>
    <n v="535.41"/>
    <s v="Romain"/>
    <s v="RM-M-D1"/>
    <s v="PALF"/>
    <x v="3"/>
    <s v="CONGO"/>
    <m/>
    <m/>
    <m/>
  </r>
  <r>
    <x v="60"/>
    <s v="ROMAIN-CONGO:Ration du 26 au 28/03/2026 à Madingou"/>
    <s v="Travel subsistence"/>
    <s v="Legal"/>
    <n v="20000"/>
    <n v="37.35455071814124"/>
    <n v="535.41"/>
    <s v="Romain"/>
    <s v="RM-M-D2"/>
    <s v="PALF"/>
    <x v="3"/>
    <s v="CONGO"/>
    <m/>
    <m/>
    <m/>
  </r>
  <r>
    <x v="60"/>
    <s v="Paiement salaire du mois de mars 2026/LOUNDOU Jean Romain/3655"/>
    <s v="Personnel"/>
    <s v="Legal"/>
    <n v="228800"/>
    <n v="427.33606021553578"/>
    <n v="535.41"/>
    <s v="BCI"/>
    <s v="BQ-M-R32"/>
    <s v="PALF"/>
    <x v="3"/>
    <s v="CONGO"/>
    <m/>
    <m/>
    <m/>
  </r>
  <r>
    <x v="60"/>
    <s v="Paiement salaire du mois de mars 2026/Crepin IBOUILI-IBOUILI"/>
    <s v="Personnel"/>
    <s v="Legal"/>
    <n v="581764"/>
    <n v="1086.576642199436"/>
    <n v="535.41"/>
    <s v="BCI"/>
    <s v="BQ-M-R33"/>
    <s v="PALF"/>
    <x v="3"/>
    <s v="CONGO"/>
    <m/>
    <m/>
    <m/>
  </r>
  <r>
    <x v="60"/>
    <s v="Paiement salaire du mois de mars  2026 et congé /PINDI BINGA Donald- Roméo"/>
    <s v="Personnel"/>
    <s v="Legal"/>
    <n v="563119"/>
    <n v="1051.7528622924488"/>
    <n v="535.41"/>
    <s v="BCI"/>
    <s v="BQ-M-R34"/>
    <s v="PALF"/>
    <x v="3"/>
    <s v="CONGO"/>
    <m/>
    <m/>
    <m/>
  </r>
  <r>
    <x v="60"/>
    <s v="Paiement salaire du mois de mars 2026/Evariste LELOUSSI"/>
    <s v="Personnel"/>
    <s v="Media"/>
    <n v="268210"/>
    <n v="500.94320240563309"/>
    <n v="535.41"/>
    <s v="BCI"/>
    <s v="BQ-M-R35"/>
    <s v="PALF"/>
    <x v="3"/>
    <s v="CONGO"/>
    <m/>
    <m/>
    <m/>
  </r>
  <r>
    <x v="60"/>
    <s v="Paiement salaire du mois de mars 2026/Homéfa DOVI/3655257"/>
    <s v="Personnel"/>
    <s v="Management"/>
    <n v="1311000"/>
    <n v="2448.5907995741582"/>
    <n v="535.41"/>
    <s v="BCI"/>
    <s v="BQ-M-R36"/>
    <s v="PALF"/>
    <x v="3"/>
    <s v="CONGO"/>
    <m/>
    <m/>
    <m/>
  </r>
  <r>
    <x v="60"/>
    <s v="Paiement salaire du mois de mars 2026/BAVOUMINA NZOUSSI Dina Parfaite/3655256"/>
    <s v="Personnel"/>
    <s v="Office"/>
    <n v="328800"/>
    <n v="614.10881380624198"/>
    <n v="535.41"/>
    <s v="BCI"/>
    <s v="BQ-M-R37"/>
    <s v="PALF"/>
    <x v="3"/>
    <s v="CONGO"/>
    <m/>
    <m/>
    <m/>
  </r>
  <r>
    <x v="60"/>
    <s v="Frais de virement salaire du mois de Mars 2026"/>
    <s v="Bank fees"/>
    <s v="Office"/>
    <n v="10665"/>
    <n v="19.919314170448818"/>
    <n v="535.41"/>
    <s v="BCI"/>
    <s v="BQ-M-R38"/>
    <s v="PALF"/>
    <x v="3"/>
    <s v="CONGO"/>
    <m/>
    <m/>
    <m/>
  </r>
  <r>
    <x v="61"/>
    <s v="Maison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1"/>
    <s v="Bureau-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1"/>
    <s v="Frais de tansfert d'argent  à Romain ,Donald-Roméo et  IT87 par momo"/>
    <s v="Transfert fees"/>
    <s v="Office"/>
    <n v="2660"/>
    <n v="4.9681552455127846"/>
    <n v="535.41"/>
    <s v="Parfaite"/>
    <s v="CA-M-R22"/>
    <s v="PALF"/>
    <x v="3"/>
    <s v="CONGO"/>
    <m/>
    <m/>
    <m/>
  </r>
  <r>
    <x v="61"/>
    <s v="Achat produits alimentaires et de nettoyages  lait/Bureau PALF"/>
    <s v="Office Materiels"/>
    <s v="Office"/>
    <n v="10000"/>
    <n v="18.67727535907062"/>
    <n v="535.41"/>
    <s v="Parfaite"/>
    <s v="CA-M-R23"/>
    <s v="PALF"/>
    <x v="3"/>
    <s v="CONGO"/>
    <m/>
    <m/>
    <m/>
  </r>
  <r>
    <x v="61"/>
    <s v="Achat produits alimentaires et de nettoyages café/Bureau PALF"/>
    <s v="Office Materiels"/>
    <s v="Office"/>
    <n v="4000"/>
    <n v="7.4709101436282479"/>
    <n v="535.41"/>
    <s v="Parfaite"/>
    <s v="CA-M-R23"/>
    <s v="PALF"/>
    <x v="3"/>
    <s v="CONGO"/>
    <m/>
    <m/>
    <m/>
  </r>
  <r>
    <x v="61"/>
    <s v="Achat produits alimentaires et de nettoyages sucre 5 kg/Bureau PALF"/>
    <s v="Office Materiels"/>
    <s v="Office"/>
    <n v="3500"/>
    <n v="6.5370463756747172"/>
    <n v="535.41"/>
    <s v="Parfaite"/>
    <s v="CA-M-R23"/>
    <s v="PALF"/>
    <x v="3"/>
    <s v="CONGO"/>
    <m/>
    <m/>
    <m/>
  </r>
  <r>
    <x v="61"/>
    <s v="Achat produits alimentaires et de nettoyages  lipton/Bureau PALF"/>
    <s v="Office Materiels"/>
    <s v="Office"/>
    <n v="3500"/>
    <n v="6.5370463756747172"/>
    <n v="535.41"/>
    <s v="Parfaite"/>
    <s v="CA-M-R23"/>
    <s v="PALF"/>
    <x v="3"/>
    <s v="CONGO"/>
    <m/>
    <m/>
    <m/>
  </r>
  <r>
    <x v="61"/>
    <s v="Achat produits alimentaires et de nettoyages Nettoyant surface/Bureau PALF"/>
    <s v="Office Materiels"/>
    <s v="Office"/>
    <n v="5600"/>
    <n v="10.459274201079547"/>
    <n v="535.41"/>
    <s v="Parfaite"/>
    <s v="CA-M-R23"/>
    <s v="PALF"/>
    <x v="3"/>
    <s v="CONGO"/>
    <m/>
    <m/>
    <m/>
  </r>
  <r>
    <x v="61"/>
    <s v="Achat produits alimentaires et de nettoyages  Javel/Bureau PALF"/>
    <s v="Office Materiels"/>
    <s v="Office"/>
    <n v="6000"/>
    <n v="11.206365215442371"/>
    <n v="535.41"/>
    <s v="Parfaite"/>
    <s v="CA-M-R23"/>
    <s v="PALF"/>
    <x v="3"/>
    <s v="CONGO"/>
    <m/>
    <m/>
    <m/>
  </r>
  <r>
    <x v="61"/>
    <s v="Achat produits alimentaires et de nettoyages  Liquide vaiselle/Bureau PALF"/>
    <s v="Office Materiels"/>
    <s v="Office"/>
    <n v="1250"/>
    <n v="2.3346594198838275"/>
    <n v="535.41"/>
    <s v="Parfaite"/>
    <s v="CA-M-R23"/>
    <s v="PALF"/>
    <x v="3"/>
    <s v="CONGO"/>
    <m/>
    <m/>
    <m/>
  </r>
  <r>
    <x v="61"/>
    <s v="Achat produits alimentaires et de nettoyages  savons/Bureau PALF"/>
    <s v="Office Materiels"/>
    <s v="Office"/>
    <n v="1200"/>
    <n v="2.2412730430884742"/>
    <n v="535.41"/>
    <s v="Parfaite"/>
    <s v="CA-M-R23"/>
    <s v="PALF"/>
    <x v="3"/>
    <s v="CONGO"/>
    <m/>
    <m/>
    <m/>
  </r>
  <r>
    <x v="61"/>
    <s v="Achat produits alimentaires et de nettoyages detergent proclin/Bureau PALF"/>
    <s v="Office Materiels"/>
    <s v="Office"/>
    <n v="3700"/>
    <n v="6.9105918828561297"/>
    <n v="535.41"/>
    <s v="Parfaite"/>
    <s v="CA-M-R23"/>
    <s v="PALF"/>
    <x v="3"/>
    <s v="CONGO"/>
    <m/>
    <m/>
    <m/>
  </r>
  <r>
    <x v="61"/>
    <s v="Achat produits alimentaires et de nettoyages Papier toilette/Bureau PALF"/>
    <s v="Office Materiels"/>
    <s v="Office"/>
    <n v="17550"/>
    <n v="32.778618255168936"/>
    <n v="535.41"/>
    <s v="Parfaite"/>
    <s v="CA-M-R23"/>
    <s v="PALF"/>
    <x v="3"/>
    <s v="CONGO"/>
    <m/>
    <m/>
    <m/>
  </r>
  <r>
    <x v="61"/>
    <s v="Achat produits alimentaires et de nettoyages  sac poubelle /Bureau PALF"/>
    <s v="Office Materiels"/>
    <s v="Office"/>
    <n v="11100"/>
    <n v="20.731775648568387"/>
    <n v="535.41"/>
    <s v="Parfaite"/>
    <s v="CA-M-R23"/>
    <s v="PALF"/>
    <x v="3"/>
    <s v="CONGO"/>
    <m/>
    <m/>
    <m/>
  </r>
  <r>
    <x v="61"/>
    <s v="Taxi: Bureau- Direction MTN / transfert d'argent à IT87,Donald-roméo et romain"/>
    <s v="Transport local"/>
    <s v="Office"/>
    <n v="1000"/>
    <n v="1.867727535907062"/>
    <n v="535.41"/>
    <s v="Parfaite"/>
    <s v="P-M-D1"/>
    <s v="PALF"/>
    <x v="3"/>
    <s v="CONGO"/>
    <m/>
    <m/>
    <m/>
  </r>
  <r>
    <x v="61"/>
    <s v="Taxi: Direction MTN - Bureau"/>
    <s v="Transport local"/>
    <s v="Office"/>
    <n v="1000"/>
    <n v="1.867727535907062"/>
    <n v="535.41"/>
    <s v="Parfaite"/>
    <s v="P-M-D1"/>
    <s v="PALF"/>
    <x v="3"/>
    <s v="CONGO"/>
    <m/>
    <m/>
    <m/>
  </r>
  <r>
    <x v="61"/>
    <s v="Taxi: Bureau- Supermarché Moungali / achat Fournitures de bureau PALF"/>
    <s v="Transport local"/>
    <s v="Office"/>
    <n v="1000"/>
    <n v="1.867727535907062"/>
    <n v="535.41"/>
    <s v="Parfaite"/>
    <s v="P-M-D1"/>
    <s v="PALF"/>
    <x v="3"/>
    <s v="CONGO"/>
    <m/>
    <m/>
    <m/>
  </r>
  <r>
    <x v="61"/>
    <s v="Taxi: Supermarché Moungali  - Bureau"/>
    <s v="Transport local"/>
    <s v="Office"/>
    <n v="1000"/>
    <n v="1.867727535907062"/>
    <n v="535.41"/>
    <s v="Parfaite"/>
    <s v="P-M-D1"/>
    <s v="PALF"/>
    <x v="3"/>
    <s v="CONGO"/>
    <m/>
    <m/>
    <m/>
  </r>
  <r>
    <x v="61"/>
    <s v="Taxi moto : Mboua - village Béné (vérifcation produit)"/>
    <s v="Transport Interurbain"/>
    <s v="Investigation"/>
    <n v="4000"/>
    <n v="7.4709101436282479"/>
    <n v="535.41"/>
    <s v="T73"/>
    <s v="T73-M-R31"/>
    <s v="PALF"/>
    <x v="3"/>
    <s v="CONGO"/>
    <m/>
    <m/>
    <m/>
  </r>
  <r>
    <x v="61"/>
    <s v="Taxi moto : village Béné - Mboua (vérifcation produit)"/>
    <s v="Transport Interurbain"/>
    <s v="Investigation"/>
    <n v="4000"/>
    <n v="7.4709101436282479"/>
    <n v="535.41"/>
    <s v="T73"/>
    <s v="T73-M-R32"/>
    <s v="PALF"/>
    <x v="3"/>
    <s v="CONGO"/>
    <m/>
    <m/>
    <m/>
  </r>
  <r>
    <x v="61"/>
    <s v="Taxi moto : Parking - Hôtel/ Retour du terrain"/>
    <s v="Transport local"/>
    <s v="Investigation"/>
    <n v="500"/>
    <n v="0.93386376795353099"/>
    <n v="535.41"/>
    <s v="IT87"/>
    <s v="IT87-M-D1"/>
    <s v="PALF"/>
    <x v="3"/>
    <s v="CONGO"/>
    <m/>
    <m/>
    <m/>
  </r>
  <r>
    <x v="61"/>
    <s v="Taxi moto : Hôtel - Quartier Poto poto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61"/>
    <s v="Achat boisons avec la cible"/>
    <s v="Trust building"/>
    <s v="Investigation"/>
    <n v="1600"/>
    <n v="2.9883640574512991"/>
    <n v="535.41"/>
    <s v="IT87"/>
    <s v="IT87-M-D2"/>
    <s v="PALF"/>
    <x v="3"/>
    <s v="CONGO"/>
    <m/>
    <m/>
    <m/>
  </r>
  <r>
    <x v="61"/>
    <s v="Taxi moto : Quartier Poto poto - Point de recharge batterie/ Recharger mon téléphone"/>
    <s v="Transport local"/>
    <s v="Investigation"/>
    <n v="500"/>
    <n v="0.93386376795353099"/>
    <n v="535.41"/>
    <s v="IT87"/>
    <s v="IT87-M-D1"/>
    <s v="PALF"/>
    <x v="3"/>
    <s v="CONGO"/>
    <m/>
    <m/>
    <m/>
  </r>
  <r>
    <x v="61"/>
    <s v="Taxi moto : Point de charge batterie - Hôtel/ Retour du terrain"/>
    <s v="Transport local"/>
    <s v="Investigation"/>
    <n v="500"/>
    <n v="0.93386376795353099"/>
    <n v="535.41"/>
    <s v="IT87"/>
    <s v="IT87-M-D1"/>
    <s v="PALF"/>
    <x v="3"/>
    <s v="CONGO"/>
    <m/>
    <m/>
    <m/>
  </r>
  <r>
    <x v="61"/>
    <s v="Taxi moto Hôtel le Papyrus-DDEF/ Rencontrer le DDPI"/>
    <s v="Transport local"/>
    <s v="Legal"/>
    <n v="500"/>
    <n v="0.93386376795353099"/>
    <n v="535.41"/>
    <s v="Donald-Romeo"/>
    <s v="DR-M-D1"/>
    <s v="PALF"/>
    <x v="3"/>
    <s v="CONGO"/>
    <m/>
    <m/>
    <m/>
  </r>
  <r>
    <x v="61"/>
    <s v="Taxi moto DDEF-TGI/ Rencontrer le Procureur"/>
    <s v="Transport local"/>
    <s v="Legal"/>
    <n v="500"/>
    <n v="0.93386376795353099"/>
    <n v="535.41"/>
    <s v="Donald-Romeo"/>
    <s v="DR-M-D1"/>
    <s v="PALF"/>
    <x v="3"/>
    <s v="CONGO"/>
    <m/>
    <m/>
    <m/>
  </r>
  <r>
    <x v="61"/>
    <s v="Taxi moto TGI-Region de gendarmerie / Rencontrer le COMREG"/>
    <s v="Transport local"/>
    <s v="Legal"/>
    <n v="500"/>
    <n v="0.93386376795353099"/>
    <n v="535.41"/>
    <s v="Donald-Romeo"/>
    <s v="DR-M-D1"/>
    <s v="PALF"/>
    <x v="3"/>
    <s v="CONGO"/>
    <m/>
    <m/>
    <m/>
  </r>
  <r>
    <x v="61"/>
    <s v="Taxi moto Maison d'arrêt-Hôtel le Papyrus"/>
    <s v="Transport local"/>
    <s v="Legal"/>
    <n v="500"/>
    <n v="0.93386376795353099"/>
    <n v="535.41"/>
    <s v="Donald-Romeo"/>
    <s v="DR-M-D1"/>
    <s v="PALF"/>
    <x v="3"/>
    <s v="CONGO"/>
    <m/>
    <m/>
    <m/>
  </r>
  <r>
    <x v="61"/>
    <s v="Ration un detenu/ MANKOUSSOU Auzere/ Maison d'arrêt de Sibiti/ Soir"/>
    <s v="jail visit"/>
    <s v="Legal"/>
    <n v="1500"/>
    <n v="2.8015913038605929"/>
    <n v="535.41"/>
    <s v="Donald-Romeo"/>
    <s v="DR-M-D2"/>
    <s v="PALF"/>
    <x v="3"/>
    <s v="CONGO"/>
    <m/>
    <m/>
    <m/>
  </r>
  <r>
    <x v="61"/>
    <s v="Taxi moto: Hotel DZONGO-Marché(pour acheter la ration du prevenu)"/>
    <s v="Transport local"/>
    <s v="Legal"/>
    <n v="500"/>
    <n v="0.93386376795353099"/>
    <n v="535.41"/>
    <s v="Romain"/>
    <s v="RM-M-D1"/>
    <s v="PALF"/>
    <x v="3"/>
    <s v="CONGO"/>
    <m/>
    <m/>
    <m/>
  </r>
  <r>
    <x v="61"/>
    <s v="Achat de la ration du détenu NTONDELE MOUKOKO Fulgence/ Commissariat de Police de Madingou/ Matin"/>
    <s v="jail visit"/>
    <s v="Legal"/>
    <n v="1500"/>
    <n v="2.8015913038605929"/>
    <n v="535.41"/>
    <s v="Romain"/>
    <s v="RM-M-D3"/>
    <s v="PALF"/>
    <x v="3"/>
    <s v="CONGO"/>
    <m/>
    <m/>
    <m/>
  </r>
  <r>
    <x v="61"/>
    <s v="Taxi moto: Marché -Commisariat de Police"/>
    <s v="Transport local"/>
    <s v="Legal"/>
    <n v="500"/>
    <n v="0.93386376795353099"/>
    <n v="535.41"/>
    <s v="Romain"/>
    <s v="RM-M-D1"/>
    <s v="PALF"/>
    <x v="3"/>
    <s v="CONGO"/>
    <m/>
    <m/>
    <m/>
  </r>
  <r>
    <x v="61"/>
    <s v="Taxi moto: Commissariat de Police-DDEF"/>
    <s v="Transport local"/>
    <s v="Legal"/>
    <n v="500"/>
    <n v="0.93386376795353099"/>
    <n v="535.41"/>
    <s v="Romain"/>
    <s v="RM-M-D1"/>
    <s v="PALF"/>
    <x v="3"/>
    <s v="CONGO"/>
    <m/>
    <m/>
    <m/>
  </r>
  <r>
    <x v="61"/>
    <s v="Achat  billet  Madingou-Brazzaville/ Romain"/>
    <s v="Transport Interurbain"/>
    <s v="Legal"/>
    <n v="7000"/>
    <n v="13.074092751349434"/>
    <n v="535.41"/>
    <s v="Romain"/>
    <s v="RM-M-R6"/>
    <s v="PALF"/>
    <x v="3"/>
    <s v="CONGO"/>
    <m/>
    <m/>
    <m/>
  </r>
  <r>
    <x v="61"/>
    <s v="Taxi moto: Agence Trans bony de Madingou-Hotel DZONGO"/>
    <s v="Transport local"/>
    <s v="Legal"/>
    <n v="500"/>
    <n v="0.93386376795353099"/>
    <n v="535.41"/>
    <s v="Romain"/>
    <s v="RM-M-D1"/>
    <s v="PALF"/>
    <x v="3"/>
    <s v="CONGO"/>
    <m/>
    <m/>
    <m/>
  </r>
  <r>
    <x v="61"/>
    <s v="Taxi moto: Hotel DZONGO-Commissariat de Police"/>
    <s v="Transport local"/>
    <s v="Legal"/>
    <n v="500"/>
    <n v="0.93386376795353099"/>
    <n v="535.41"/>
    <s v="Romain"/>
    <s v="RM-M-D1"/>
    <s v="PALF"/>
    <x v="3"/>
    <s v="CONGO"/>
    <m/>
    <m/>
    <m/>
  </r>
  <r>
    <x v="61"/>
    <s v="Achat de la ration du détenu NTONDELE MOUKOKO Fulgence/ Commissariat de Police de Madingou/ Soir"/>
    <s v="jail visit"/>
    <s v="Legal"/>
    <n v="1500"/>
    <n v="2.8015913038605929"/>
    <n v="535.41"/>
    <s v="Romain"/>
    <s v="RM-M-D3"/>
    <s v="PALF"/>
    <x v="3"/>
    <s v="CONGO"/>
    <m/>
    <m/>
    <m/>
  </r>
  <r>
    <x v="61"/>
    <s v="Taxi moto: Commissariat de Police-Hotel Dzongo"/>
    <s v="Transport local"/>
    <s v="Legal"/>
    <n v="500"/>
    <n v="0.93386376795353099"/>
    <n v="535.41"/>
    <s v="Romain"/>
    <s v="RM-M-D1"/>
    <s v="PALF"/>
    <x v="3"/>
    <s v="CONGO"/>
    <m/>
    <m/>
    <m/>
  </r>
  <r>
    <x v="62"/>
    <s v="Taxi: Domicile-Agence trans bony"/>
    <s v="Transport local"/>
    <s v="Legal"/>
    <n v="1000"/>
    <n v="1.867727535907062"/>
    <n v="535.41"/>
    <s v="Crépin"/>
    <s v="CR-M-D1"/>
    <s v="PALF"/>
    <x v="3"/>
    <s v="CONGO"/>
    <m/>
    <m/>
    <m/>
  </r>
  <r>
    <x v="62"/>
    <s v="Achat Billet Brazzaville-Owando/Crépin"/>
    <s v="Transport Interurbain"/>
    <s v="Legal"/>
    <n v="8000"/>
    <n v="14.941820287256496"/>
    <n v="535.41"/>
    <s v="Crépin"/>
    <s v="CR-M-R5"/>
    <s v="PALF"/>
    <x v="3"/>
    <s v="CONGO"/>
    <m/>
    <m/>
    <m/>
  </r>
  <r>
    <x v="62"/>
    <s v="Taxi: Agence trans bony-Domicile"/>
    <s v="Transport local"/>
    <s v="Legal"/>
    <n v="1000"/>
    <n v="1.867727535907062"/>
    <n v="535.41"/>
    <s v="Crépin"/>
    <s v="CR-M-D1"/>
    <s v="PALF"/>
    <x v="3"/>
    <s v="CONGO"/>
    <m/>
    <m/>
    <m/>
  </r>
  <r>
    <x v="62"/>
    <s v="Achat billet pokola-gouga"/>
    <s v="Transport Interurbain"/>
    <s v="Investigation"/>
    <n v="3500"/>
    <n v="6.5370463756747172"/>
    <n v="535.41"/>
    <s v="P29"/>
    <s v="P29-M-R19"/>
    <s v="PALF"/>
    <x v="3"/>
    <s v="CONGO"/>
    <m/>
    <m/>
    <m/>
  </r>
  <r>
    <x v="62"/>
    <s v="Achat billet gouga-pokola"/>
    <s v="Transport Interurbain"/>
    <s v="Investigation"/>
    <n v="3500"/>
    <n v="6.5370463756747172"/>
    <n v="535.41"/>
    <s v="P29"/>
    <s v="P29-M-R20"/>
    <s v="PALF"/>
    <x v="3"/>
    <s v="CONGO"/>
    <m/>
    <m/>
    <m/>
  </r>
  <r>
    <x v="62"/>
    <s v="Achat boisson"/>
    <s v="Trust building"/>
    <s v="Investigation"/>
    <n v="2000"/>
    <n v="3.735455071814124"/>
    <n v="535.41"/>
    <s v="P29"/>
    <s v="P29-M-D5"/>
    <s v="PALF"/>
    <x v="3"/>
    <s v="CONGO"/>
    <m/>
    <m/>
    <m/>
  </r>
  <r>
    <x v="62"/>
    <s v="Taxi moto quartier1-payo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62"/>
    <s v="Taxi moto payo-lycéé,propsection"/>
    <s v="Transport local"/>
    <s v="Investigation"/>
    <n v="500"/>
    <n v="0.93386376795353099"/>
    <n v="535.41"/>
    <s v="P29"/>
    <s v="P29-M-D1"/>
    <s v="PALF"/>
    <x v="3"/>
    <s v="CONGO"/>
    <m/>
    <m/>
    <m/>
  </r>
  <r>
    <x v="62"/>
    <s v="Taxi moto lycée-parking"/>
    <s v="Transport local"/>
    <s v="Investigation"/>
    <n v="500"/>
    <n v="0.93386376795353099"/>
    <n v="535.41"/>
    <s v="P29"/>
    <s v="P29-M-D1"/>
    <s v="PALF"/>
    <x v="3"/>
    <s v="CONGO"/>
    <m/>
    <m/>
    <m/>
  </r>
  <r>
    <x v="62"/>
    <s v="Taxi moto : Mboua - village Béné (vérifcation produit)"/>
    <s v="Transport Interurbain"/>
    <s v="Investigation"/>
    <n v="4000"/>
    <n v="7.4709101436282479"/>
    <n v="535.41"/>
    <s v="T73"/>
    <s v="T73-M-R33"/>
    <s v="PALF"/>
    <x v="3"/>
    <s v="CONGO"/>
    <m/>
    <m/>
    <m/>
  </r>
  <r>
    <x v="62"/>
    <s v="Taxi moto : village Béné - Mboua (vérifcation produit)"/>
    <s v="Transport Interurbain"/>
    <s v="Investigation"/>
    <n v="4000"/>
    <n v="7.4709101436282479"/>
    <n v="535.41"/>
    <s v="T73"/>
    <s v="T73-M-R34"/>
    <s v="PALF"/>
    <x v="3"/>
    <s v="CONGO"/>
    <m/>
    <m/>
    <m/>
  </r>
  <r>
    <x v="62"/>
    <s v="IT87- CONGO Frais d'hôtel  du 23 au 28/03/2026 à Zanaga (05 nuitées)"/>
    <s v="Travel subsistence"/>
    <s v="Investigation"/>
    <n v="50000"/>
    <n v="93.386376795353101"/>
    <n v="535.41"/>
    <s v="IT87"/>
    <s v="IT87-M-R22"/>
    <s v="PALF"/>
    <x v="3"/>
    <s v="CONGO"/>
    <m/>
    <m/>
    <m/>
  </r>
  <r>
    <x v="62"/>
    <s v="Taxi moto : Hôtel - Parking/ Départ pour Sibiti"/>
    <s v="Transport local"/>
    <s v="Investigation"/>
    <n v="500"/>
    <n v="0.93386376795353099"/>
    <n v="535.41"/>
    <s v="IT87"/>
    <s v="IT87-M-D1"/>
    <s v="PALF"/>
    <x v="3"/>
    <s v="CONGO"/>
    <m/>
    <m/>
    <m/>
  </r>
  <r>
    <x v="62"/>
    <s v="Achat billet Zanaga - Sibiti/ IT87"/>
    <s v="Transport Interurbain"/>
    <s v="Investigation"/>
    <n v="9000"/>
    <n v="16.809547823163559"/>
    <n v="535.41"/>
    <s v="IT87"/>
    <s v="IT87-M-R23"/>
    <s v="PALF"/>
    <x v="3"/>
    <s v="CONGO"/>
    <m/>
    <m/>
    <m/>
  </r>
  <r>
    <x v="62"/>
    <s v="Taxi moto : Parking - Agence Ocean du nord/ Achat billet"/>
    <s v="Transport local"/>
    <s v="Investigation"/>
    <n v="350"/>
    <n v="0.65370463756747166"/>
    <n v="535.41"/>
    <s v="IT87"/>
    <s v="IT87-M-D1"/>
    <s v="PALF"/>
    <x v="3"/>
    <s v="CONGO"/>
    <m/>
    <m/>
    <m/>
  </r>
  <r>
    <x v="62"/>
    <s v="Taxi moto : Agence Ocean du Nord - Gare routière/ Départ pour Loudima"/>
    <s v="Transport local"/>
    <s v="Investigation"/>
    <n v="300"/>
    <n v="0.56031826077211855"/>
    <n v="535.41"/>
    <s v="IT87"/>
    <s v="IT87-M-D1"/>
    <s v="PALF"/>
    <x v="3"/>
    <s v="CONGO"/>
    <m/>
    <m/>
    <m/>
  </r>
  <r>
    <x v="62"/>
    <s v="Achat billet Sibiti - Loudima/ IT87"/>
    <s v="Transport Interurbain"/>
    <s v="Investigation"/>
    <n v="4000"/>
    <n v="7.4709101436282479"/>
    <n v="535.41"/>
    <s v="IT87"/>
    <s v="IT87-M-R24"/>
    <s v="PALF"/>
    <x v="3"/>
    <s v="CONGO"/>
    <m/>
    <m/>
    <m/>
  </r>
  <r>
    <x v="62"/>
    <s v="Achat billet Loudima - Brazzaville/ IT87"/>
    <s v="Transport Interurbain"/>
    <s v="Investigation"/>
    <n v="7000"/>
    <n v="13.074092751349434"/>
    <n v="535.41"/>
    <s v="IT87"/>
    <s v="IT87-M-R25"/>
    <s v="PALF"/>
    <x v="3"/>
    <s v="CONGO"/>
    <m/>
    <m/>
    <m/>
  </r>
  <r>
    <x v="62"/>
    <s v="Taxi : Agence Ocean du nord Moungali - Domicile/ Arrivé à Brazzaville"/>
    <s v="Transport local"/>
    <s v="Investigation"/>
    <n v="2500"/>
    <n v="4.669318839767655"/>
    <n v="535.41"/>
    <s v="IT87"/>
    <s v="IT87-M-D1"/>
    <s v="PALF"/>
    <x v="3"/>
    <s v="CONGO"/>
    <m/>
    <m/>
    <m/>
  </r>
  <r>
    <x v="62"/>
    <s v="Taxi moto Hôtel le Papyrus-Maison d'arrêt"/>
    <s v="Transport local"/>
    <s v="Legal"/>
    <n v="500"/>
    <n v="0.93386376795353099"/>
    <n v="535.41"/>
    <s v="Donald-Romeo"/>
    <s v="DR-M-D1"/>
    <s v="PALF"/>
    <x v="3"/>
    <s v="CONGO"/>
    <m/>
    <m/>
    <m/>
  </r>
  <r>
    <x v="62"/>
    <s v="Taxi moto Maison d'arrêt-TGI/ Rencontrer le Président du tribunal"/>
    <s v="Transport local"/>
    <s v="Legal"/>
    <n v="500"/>
    <n v="0.93386376795353099"/>
    <n v="535.41"/>
    <s v="Donald-Romeo"/>
    <s v="DR-M-D1"/>
    <s v="PALF"/>
    <x v="3"/>
    <s v="CONGO"/>
    <m/>
    <m/>
    <m/>
  </r>
  <r>
    <x v="62"/>
    <s v="Taxi moto TGI-Agence ocean du Nort/ Reservation du billet"/>
    <s v="Transport local"/>
    <s v="Legal"/>
    <n v="500"/>
    <n v="0.93386376795353099"/>
    <n v="535.41"/>
    <s v="Donald-Romeo"/>
    <s v="DR-M-D1"/>
    <s v="PALF"/>
    <x v="3"/>
    <s v="CONGO"/>
    <m/>
    <m/>
    <m/>
  </r>
  <r>
    <x v="62"/>
    <s v="Achat billet Sibiti- Brazzaville/ Donald-Roméo"/>
    <s v="Transport Interurbain"/>
    <s v="Legal"/>
    <n v="9000"/>
    <n v="16.809547823163559"/>
    <n v="535.41"/>
    <s v="Donald-Romeo"/>
    <s v="DR-M-R6"/>
    <s v="PALF"/>
    <x v="3"/>
    <s v="CONGO"/>
    <m/>
    <m/>
    <m/>
  </r>
  <r>
    <x v="62"/>
    <s v="Taxi moto agence océan du Nord- Hôtel le Papyrus/ Sibiti"/>
    <s v="Transport local"/>
    <s v="Legal"/>
    <n v="500"/>
    <n v="0.93386376795353099"/>
    <n v="535.41"/>
    <s v="Donald-Romeo"/>
    <s v="DR-M-D1"/>
    <s v="PALF"/>
    <x v="3"/>
    <s v="CONGO"/>
    <m/>
    <m/>
    <m/>
  </r>
  <r>
    <x v="62"/>
    <s v="ROMAIN-Congo: Frais d'Hotel à Madingou du 26 au 28/03/2026 (02) nuitées"/>
    <s v="Travel subsistence"/>
    <s v="Legal"/>
    <n v="20000"/>
    <n v="37.35455071814124"/>
    <n v="535.41"/>
    <s v="Romain"/>
    <s v="RM-M-R7"/>
    <s v="PALF"/>
    <x v="3"/>
    <s v="CONGO"/>
    <m/>
    <m/>
    <m/>
  </r>
  <r>
    <x v="62"/>
    <s v="Taxi moto: Hotel Dzongo-Agence Trans Bony de Madingou"/>
    <s v="Transport local"/>
    <s v="Legal"/>
    <n v="500"/>
    <n v="0.93386376795353099"/>
    <n v="535.41"/>
    <s v="Romain"/>
    <s v="RM-M-D1"/>
    <s v="PALF"/>
    <x v="3"/>
    <s v="CONGO"/>
    <m/>
    <m/>
    <m/>
  </r>
  <r>
    <x v="62"/>
    <s v="Taxi: Agence Trans Bony de Bifouiti-Domicile"/>
    <s v="Transport local"/>
    <s v="Legal"/>
    <n v="1500"/>
    <n v="2.8015913038605929"/>
    <n v="535.41"/>
    <s v="Romain"/>
    <s v="RM-M-D1"/>
    <s v="PALF"/>
    <x v="3"/>
    <s v="CONGO"/>
    <m/>
    <m/>
    <m/>
  </r>
  <r>
    <x v="63"/>
    <s v="Taxi: Domicile-Agence trans bony"/>
    <s v="Transport local"/>
    <s v="Legal"/>
    <n v="1000"/>
    <n v="1.867727535907062"/>
    <n v="535.41"/>
    <s v="Crépin"/>
    <s v="CR-M-D1"/>
    <s v="PALF"/>
    <x v="3"/>
    <s v="CONGO"/>
    <m/>
    <m/>
    <m/>
  </r>
  <r>
    <x v="63"/>
    <s v="Taxi moto: Agence trans bony-Hôtel Case Mbali"/>
    <s v="Transport local"/>
    <s v="Legal"/>
    <n v="300"/>
    <n v="0.56031826077211855"/>
    <n v="535.41"/>
    <s v="Crépin"/>
    <s v="CR-M-D1"/>
    <s v="PALF"/>
    <x v="3"/>
    <s v="CONGO"/>
    <m/>
    <m/>
    <m/>
  </r>
  <r>
    <x v="63"/>
    <s v="Crépin- CONGO Ration du 29 au 31/03/2026 à Owando"/>
    <s v="Travel subsistence"/>
    <s v="Legal"/>
    <n v="20000"/>
    <n v="37.35455071814124"/>
    <n v="535.41"/>
    <s v="Crépin"/>
    <s v="CR-M-D2"/>
    <s v="PALF"/>
    <x v="3"/>
    <s v="CONGO"/>
    <m/>
    <m/>
    <m/>
  </r>
  <r>
    <x v="63"/>
    <s v="Achat billet pokola-kabo1"/>
    <s v="Transport Interurbain"/>
    <s v="Investigation"/>
    <n v="3000"/>
    <n v="5.6031826077211857"/>
    <n v="535.41"/>
    <s v="P29"/>
    <s v="P29-M-R21"/>
    <s v="PALF"/>
    <x v="3"/>
    <s v="CONGO"/>
    <m/>
    <m/>
    <m/>
  </r>
  <r>
    <x v="63"/>
    <s v="Achat billet kabo1-pokola"/>
    <s v="Transport Interurbain"/>
    <s v="Investigation"/>
    <n v="3000"/>
    <n v="5.6031826077211857"/>
    <n v="535.41"/>
    <s v="P29"/>
    <s v="P29-M-R22"/>
    <s v="PALF"/>
    <x v="3"/>
    <s v="CONGO"/>
    <m/>
    <m/>
    <m/>
  </r>
  <r>
    <x v="63"/>
    <s v="Achat boisson"/>
    <s v="Trust building"/>
    <s v="Investigation"/>
    <n v="2000"/>
    <n v="3.735455071814124"/>
    <n v="535.41"/>
    <s v="P29"/>
    <s v="P29-M-D5"/>
    <s v="PALF"/>
    <x v="3"/>
    <s v="CONGO"/>
    <m/>
    <m/>
    <m/>
  </r>
  <r>
    <x v="63"/>
    <s v="Taxi moto obo-mougougui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63"/>
    <s v="Taxi moto mougougui-piste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63"/>
    <s v="Taxi  moto piste -parking"/>
    <s v="Transport local"/>
    <s v="Investigation"/>
    <n v="500"/>
    <n v="0.93386376795353099"/>
    <n v="535.41"/>
    <s v="P29"/>
    <s v="P29-M-D1"/>
    <s v="PALF"/>
    <x v="3"/>
    <s v="CONGO"/>
    <m/>
    <m/>
    <m/>
  </r>
  <r>
    <x v="63"/>
    <s v="Taxi moto : Mboua - village Béné (rendez vous avec la cible)"/>
    <s v="Transport Interurbain"/>
    <s v="Investigation"/>
    <n v="4000"/>
    <n v="7.4709101436282479"/>
    <n v="535.41"/>
    <s v="T73"/>
    <s v="T73-M-R35"/>
    <s v="PALF"/>
    <x v="3"/>
    <s v="CONGO"/>
    <m/>
    <m/>
    <m/>
  </r>
  <r>
    <x v="63"/>
    <s v="Achat boissons et nourriture/ deux cibles"/>
    <s v="Trust building"/>
    <s v="Investigation"/>
    <n v="3500"/>
    <n v="6.5370463756747172"/>
    <n v="535.41"/>
    <s v="T73"/>
    <s v="T73-M-D2"/>
    <s v="PALF"/>
    <x v="3"/>
    <s v="CONGO"/>
    <m/>
    <m/>
    <m/>
  </r>
  <r>
    <x v="63"/>
    <s v="Taxi moto : village Béné - Mboua (retour à Mboua)"/>
    <s v="Transport Interurbain"/>
    <s v="Investigation"/>
    <n v="4000"/>
    <n v="7.4709101436282479"/>
    <n v="535.41"/>
    <s v="T73"/>
    <s v="T73-M-R36"/>
    <s v="PALF"/>
    <x v="3"/>
    <s v="CONGO"/>
    <m/>
    <m/>
    <m/>
  </r>
  <r>
    <x v="63"/>
    <s v="Donald-Roméo-CONGO Frais d'hôtel   du  26 au 29/03/2026 à Sibiti (3 nuitées)"/>
    <s v="Travel subsistence"/>
    <s v="Legal"/>
    <n v="30000"/>
    <n v="56.031826077211861"/>
    <n v="535.41"/>
    <s v="Donald-Romeo"/>
    <s v="DR-M-R7"/>
    <s v="PALF"/>
    <x v="3"/>
    <s v="CONGO"/>
    <m/>
    <m/>
    <m/>
  </r>
  <r>
    <x v="63"/>
    <s v="Taxi Hôtel le Papyrus-Agence ocean du Nort/ Reservation du billet"/>
    <s v="Transport local"/>
    <s v="Legal"/>
    <n v="500"/>
    <n v="0.93386376795353099"/>
    <n v="535.41"/>
    <s v="Donald-Romeo"/>
    <s v="DR-M-D1"/>
    <s v="PALF"/>
    <x v="3"/>
    <s v="CONGO"/>
    <m/>
    <m/>
    <m/>
  </r>
  <r>
    <x v="63"/>
    <s v="Taxi  Agence océan du nord de Moungali-Domicile"/>
    <s v="Transport local"/>
    <s v="Legal"/>
    <n v="1500"/>
    <n v="2.8015913038605929"/>
    <n v="535.41"/>
    <s v="Donald-Romeo"/>
    <s v="DR-M-D1"/>
    <s v="PALF"/>
    <x v="3"/>
    <s v="CONGO"/>
    <m/>
    <m/>
    <m/>
  </r>
  <r>
    <x v="64"/>
    <s v="Maison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4"/>
    <s v="Bureau-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64"/>
    <s v="Taxi moto: Hôtel-DDEF"/>
    <s v="Transport local"/>
    <s v="Legal"/>
    <n v="500"/>
    <n v="0.93386376795353099"/>
    <n v="535.41"/>
    <s v="Crépin"/>
    <s v="CR-M-D1"/>
    <s v="PALF"/>
    <x v="3"/>
    <s v="CONGO"/>
    <m/>
    <m/>
    <m/>
  </r>
  <r>
    <x v="64"/>
    <s v="Taxi moto: DDEF-Trans bony pour réservation de Ouesso"/>
    <s v="Transport local"/>
    <s v="Legal"/>
    <n v="500"/>
    <n v="0.93386376795353099"/>
    <n v="535.41"/>
    <s v="Crépin"/>
    <s v="CR-M-D1"/>
    <s v="PALF"/>
    <x v="3"/>
    <s v="CONGO"/>
    <m/>
    <m/>
    <m/>
  </r>
  <r>
    <x v="64"/>
    <s v="Achat Billet Owando-Ouesso/ Crépin"/>
    <s v="Transport Interurbain"/>
    <s v="Legal"/>
    <n v="5000"/>
    <n v="9.3386376795353101"/>
    <n v="535.41"/>
    <s v="Crépin"/>
    <s v="CR-M-R6"/>
    <s v="PALF"/>
    <x v="3"/>
    <s v="CONGO"/>
    <m/>
    <m/>
    <m/>
  </r>
  <r>
    <x v="64"/>
    <s v="Taxi moto: Trans bony-Genadrmerie"/>
    <s v="Transport local"/>
    <s v="Legal"/>
    <n v="300"/>
    <n v="0.56031826077211855"/>
    <n v="535.41"/>
    <s v="Crépin"/>
    <s v="CR-M-D1"/>
    <s v="PALF"/>
    <x v="3"/>
    <s v="CONGO"/>
    <m/>
    <m/>
    <m/>
  </r>
  <r>
    <x v="64"/>
    <s v="Taxi moto: Gendarmerie-TGI"/>
    <s v="Transport local"/>
    <s v="Legal"/>
    <n v="300"/>
    <n v="0.56031826077211855"/>
    <n v="535.41"/>
    <s v="Crépin"/>
    <s v="CR-M-D1"/>
    <s v="PALF"/>
    <x v="3"/>
    <s v="CONGO"/>
    <m/>
    <m/>
    <m/>
  </r>
  <r>
    <x v="64"/>
    <s v="Taxi moto: TGI-Hôtel"/>
    <s v="Transport local"/>
    <s v="Legal"/>
    <n v="500"/>
    <n v="0.93386376795353099"/>
    <n v="535.41"/>
    <s v="Crépin"/>
    <s v="CR-M-D1"/>
    <s v="PALF"/>
    <x v="3"/>
    <s v="CONGO"/>
    <m/>
    <m/>
    <m/>
  </r>
  <r>
    <x v="64"/>
    <s v="Ration de ELOMBO Levy et NGASSAKI Davy à la maison d'arrêt  d'Owando/ Soir"/>
    <s v="jail visit"/>
    <s v="Legal"/>
    <n v="3000"/>
    <n v="5.6031826077211857"/>
    <n v="535.41"/>
    <s v="Crépin"/>
    <s v="CR-M-D3"/>
    <s v="PALF"/>
    <x v="3"/>
    <s v="CONGO"/>
    <m/>
    <m/>
    <m/>
  </r>
  <r>
    <x v="64"/>
    <s v="Taxi moto: Petit marché-Maison d'arrêt"/>
    <s v="Transport local"/>
    <s v="Legal"/>
    <n v="500"/>
    <n v="0.93386376795353099"/>
    <n v="535.41"/>
    <s v="Crépin"/>
    <s v="CR-M-D1"/>
    <s v="PALF"/>
    <x v="3"/>
    <s v="CONGO"/>
    <m/>
    <m/>
    <m/>
  </r>
  <r>
    <x v="64"/>
    <s v="Taxi moto: Maison d'arrêt-Hôtel"/>
    <s v="Transport local"/>
    <s v="Legal"/>
    <n v="500"/>
    <n v="0.93386376795353099"/>
    <n v="535.41"/>
    <s v="Crépin"/>
    <s v="CR-M-D1"/>
    <s v="PALF"/>
    <x v="3"/>
    <s v="CONGO"/>
    <m/>
    <m/>
    <m/>
  </r>
  <r>
    <x v="64"/>
    <s v="Frais de ramassage Ordure Mars 2026"/>
    <s v="Rent &amp; Utilities"/>
    <s v="Office"/>
    <n v="6000"/>
    <n v="11.206365215442371"/>
    <n v="535.41"/>
    <s v="Parfaite"/>
    <s v="CA-M-R24"/>
    <s v="PALF"/>
    <x v="3"/>
    <s v="CONGO"/>
    <m/>
    <m/>
    <m/>
  </r>
  <r>
    <x v="64"/>
    <s v="Reglement prestation de nettoyage  PALF du mois de Mars 2026"/>
    <s v="Services"/>
    <s v="Office"/>
    <n v="80000"/>
    <n v="149.41820287256496"/>
    <n v="535.41"/>
    <s v="Parfaite"/>
    <s v="CA-M-R25"/>
    <s v="PALF"/>
    <x v="3"/>
    <s v="CONGO"/>
    <m/>
    <m/>
    <m/>
  </r>
  <r>
    <x v="64"/>
    <s v=" Frais de prestation de nettoyage jardin PALF Mars 2026"/>
    <s v="Services"/>
    <s v="Office"/>
    <n v="40000"/>
    <n v="74.709101436282481"/>
    <n v="535.41"/>
    <s v="Parfaite"/>
    <s v="CA-M-R26"/>
    <s v="PALF"/>
    <x v="3"/>
    <s v="CONGO"/>
    <m/>
    <m/>
    <m/>
  </r>
  <r>
    <x v="64"/>
    <s v="Frais de tansfert d'argent  à P29 et T73 par par momo"/>
    <s v="Transfert fees"/>
    <s v="Office"/>
    <n v="5250"/>
    <n v="9.8055695635120763"/>
    <n v="535.41"/>
    <s v="Parfaite"/>
    <s v="CA-M-R27"/>
    <s v="PALF"/>
    <x v="3"/>
    <s v="CONGO"/>
    <m/>
    <m/>
    <m/>
  </r>
  <r>
    <x v="64"/>
    <s v="Taxi: Bureau- Direction MTN / transfert d'argent à P29 et T73"/>
    <s v="Transport local"/>
    <s v="Office"/>
    <n v="1000"/>
    <n v="1.867727535907062"/>
    <n v="535.41"/>
    <s v="Parfaite"/>
    <s v="P-M-D1"/>
    <s v="PALF"/>
    <x v="3"/>
    <s v="CONGO"/>
    <m/>
    <m/>
    <m/>
  </r>
  <r>
    <x v="64"/>
    <s v="Taxi: Direction MTN - Bureau"/>
    <s v="Transport local"/>
    <s v="Office"/>
    <n v="1000"/>
    <n v="1.867727535907062"/>
    <n v="535.41"/>
    <s v="Parfaite"/>
    <s v="P-M-D1"/>
    <s v="PALF"/>
    <x v="3"/>
    <s v="CONGO"/>
    <m/>
    <m/>
    <m/>
  </r>
  <r>
    <x v="64"/>
    <s v="Taxi: Bureau- L'Immeuble   / Formation à l'UE "/>
    <s v="Transport local"/>
    <s v="Office"/>
    <n v="1000"/>
    <n v="1.867727535907062"/>
    <n v="535.41"/>
    <s v="Parfaite"/>
    <s v="P-M-D1"/>
    <s v="PALF"/>
    <x v="3"/>
    <s v="CONGO"/>
    <m/>
    <m/>
    <m/>
  </r>
  <r>
    <x v="64"/>
    <s v="Taxi: L'Immeuble - Bureau"/>
    <s v="Transport local"/>
    <s v="Office"/>
    <n v="1000"/>
    <n v="1.867727535907062"/>
    <n v="535.41"/>
    <s v="Parfaite"/>
    <s v="P-M-D1"/>
    <s v="PALF"/>
    <x v="3"/>
    <s v="CONGO"/>
    <m/>
    <m/>
    <m/>
  </r>
  <r>
    <x v="64"/>
    <s v="T73 - CONGO Frais d'hotel du 22 au 30/03/2026 à Mboua (08 Nuitées)"/>
    <s v="Travel subsistence"/>
    <s v="Investigation"/>
    <n v="80000"/>
    <n v="149.41820287256496"/>
    <n v="535.41"/>
    <s v="T73"/>
    <s v="T73-M-R37"/>
    <s v="PALF"/>
    <x v="3"/>
    <s v="CONGO"/>
    <m/>
    <m/>
    <m/>
  </r>
  <r>
    <x v="64"/>
    <s v="location moto : Mboua - pokola(départ pour Mboua en prenant une autre moto au village ndoki)"/>
    <s v="Transport Interurbain"/>
    <s v="Investigation"/>
    <n v="20000"/>
    <n v="37.35455071814124"/>
    <n v="535.41"/>
    <s v="T73"/>
    <s v="T73-M-R38"/>
    <s v="PALF"/>
    <x v="3"/>
    <s v="CONGO"/>
    <m/>
    <m/>
    <m/>
  </r>
  <r>
    <x v="64"/>
    <s v="Taxi Bureau- Agence Trans Bony de la Frontière/ Resevation billets pour Ouesso"/>
    <s v="Transport local"/>
    <s v="Legal"/>
    <n v="1000"/>
    <n v="1.867727535907062"/>
    <n v="535.41"/>
    <s v="Donald-Romeo"/>
    <s v="DR-M-D1"/>
    <s v="PALF"/>
    <x v="3"/>
    <s v="CONGO"/>
    <m/>
    <m/>
    <m/>
  </r>
  <r>
    <x v="64"/>
    <s v="Taxi  Agence Trans Bony de la Frontière-Bureau"/>
    <s v="Transport local"/>
    <s v="Legal"/>
    <n v="1000"/>
    <n v="1.867727535907062"/>
    <n v="535.41"/>
    <s v="Donald-Romeo"/>
    <s v="DR-M-D1"/>
    <s v="PALF"/>
    <x v="3"/>
    <s v="CONGO"/>
    <m/>
    <m/>
    <m/>
  </r>
  <r>
    <x v="64"/>
    <s v="Achat billet Brazzaville-Ouesso/ Donald-Roméo"/>
    <s v="Transport Interurbain"/>
    <s v="Legal"/>
    <n v="12000"/>
    <n v="22.412730430884743"/>
    <n v="535.41"/>
    <s v="Donald-Romeo"/>
    <s v="DR-M-R8"/>
    <s v="PALF"/>
    <x v="3"/>
    <s v="CONGO"/>
    <m/>
    <m/>
    <m/>
  </r>
  <r>
    <x v="64"/>
    <s v="Achat billet, Brazzaville-Ouesso/ Evariste"/>
    <s v="Transport Interurbain"/>
    <s v="Media"/>
    <n v="12000"/>
    <n v="22.412730430884743"/>
    <n v="535.41"/>
    <s v="Evariste"/>
    <s v="EV-M-R5"/>
    <s v="PALF"/>
    <x v="3"/>
    <s v="CONGO"/>
    <m/>
    <m/>
    <m/>
  </r>
  <r>
    <x v="64"/>
    <s v="Achat  billet Brazzaville-Ouesso/ Romain"/>
    <s v="Transport Interurbain"/>
    <s v="Legal"/>
    <n v="12000"/>
    <n v="22.412730430884743"/>
    <n v="535.41"/>
    <s v="Romain"/>
    <s v="RM-M-R8"/>
    <s v="PALF"/>
    <x v="3"/>
    <s v="CONGO"/>
    <m/>
    <m/>
    <m/>
  </r>
  <r>
    <x v="64"/>
    <s v="Reglement honoraire du mois de Mars 2026/IT87/3655259"/>
    <s v="Personnel"/>
    <s v="Investigation"/>
    <n v="225000"/>
    <n v="420.23869557908893"/>
    <n v="535.41"/>
    <s v="BCI"/>
    <s v="BQ-M-R39"/>
    <s v="PALF"/>
    <x v="3"/>
    <s v="CONGO"/>
    <m/>
    <m/>
    <m/>
  </r>
  <r>
    <x v="65"/>
    <s v="Maison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5"/>
    <s v="Bureau-AOGC (Formation DUE)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5"/>
    <s v="AOGC -Bureau"/>
    <s v="Transport local"/>
    <s v="Management"/>
    <n v="1000"/>
    <n v="1.9054742621280678"/>
    <n v="524.80372990353703"/>
    <s v="DOVI"/>
    <s v="DH-M-D1"/>
    <s v="PALF"/>
    <x v="3"/>
    <s v="CONGO"/>
    <m/>
    <m/>
    <m/>
  </r>
  <r>
    <x v="65"/>
    <s v="Bureau-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5"/>
    <s v="Ration de ELOMBO Levy et NGASSAKI Davy à la maison d'arrêt  d'Owando/matin"/>
    <s v="jail visit"/>
    <s v="Legal"/>
    <n v="3000"/>
    <n v="5.6031826077211857"/>
    <n v="535.41"/>
    <s v="Crépin"/>
    <s v="CR-M-D3"/>
    <s v="PALF"/>
    <x v="3"/>
    <s v="CONGO"/>
    <m/>
    <m/>
    <m/>
  </r>
  <r>
    <x v="65"/>
    <s v="Taxi moto: Boutique-Maison d'arrêt"/>
    <s v="Transport local"/>
    <s v="Legal"/>
    <n v="500"/>
    <n v="0.93386376795353099"/>
    <n v="535.41"/>
    <s v="Crépin"/>
    <s v="CR-M-D1"/>
    <s v="PALF"/>
    <x v="3"/>
    <s v="CONGO"/>
    <m/>
    <m/>
    <m/>
  </r>
  <r>
    <x v="65"/>
    <s v="Taxi moto: Maison d'arrêt-Gendarmerie"/>
    <s v="Transport local"/>
    <s v="Legal"/>
    <n v="300"/>
    <n v="0.56031826077211855"/>
    <n v="535.41"/>
    <s v="Crépin"/>
    <s v="CR-M-D1"/>
    <s v="PALF"/>
    <x v="3"/>
    <s v="CONGO"/>
    <m/>
    <m/>
    <m/>
  </r>
  <r>
    <x v="65"/>
    <s v="Taxi moto: Gendarmerie-Hôtel"/>
    <s v="Transport local"/>
    <s v="Legal"/>
    <n v="500"/>
    <n v="0.93386376795353099"/>
    <n v="535.41"/>
    <s v="Crépin"/>
    <s v="CR-M-D1"/>
    <s v="PALF"/>
    <x v="3"/>
    <s v="CONGO"/>
    <m/>
    <m/>
    <m/>
  </r>
  <r>
    <x v="65"/>
    <s v="Crépin-CONGO Frais d'hotel du   29 au 31/03/2026 à Owando ( 02 Nuitéés)"/>
    <s v="Travel subsistence"/>
    <s v="Legal"/>
    <n v="20000"/>
    <n v="37.35455071814124"/>
    <n v="535.41"/>
    <s v="Crépin"/>
    <s v="CR-M-R7"/>
    <s v="PALF"/>
    <x v="3"/>
    <s v="CONGO"/>
    <m/>
    <m/>
    <m/>
  </r>
  <r>
    <x v="65"/>
    <s v="Taxi moto: Hôtel-Agence Trans Bony à destination de Ouesso"/>
    <s v="Transport local"/>
    <s v="Legal"/>
    <n v="300"/>
    <n v="0.56031826077211855"/>
    <n v="535.41"/>
    <s v="Crépin"/>
    <s v="CR-M-D1"/>
    <s v="PALF"/>
    <x v="3"/>
    <s v="CONGO"/>
    <m/>
    <m/>
    <m/>
  </r>
  <r>
    <x v="65"/>
    <s v="Taxi: Agence Trans bony Ouesso-Hôtel Royal"/>
    <s v="Transport local"/>
    <s v="Legal"/>
    <n v="500"/>
    <n v="0.93386376795353099"/>
    <n v="535.41"/>
    <s v="Crépin"/>
    <s v="CR-M-D1"/>
    <s v="PALF"/>
    <x v="3"/>
    <s v="CONGO"/>
    <m/>
    <m/>
    <m/>
  </r>
  <r>
    <x v="65"/>
    <s v="Taxi: Bureau-Lieu de Formation UE"/>
    <s v="Transport local"/>
    <s v="Office"/>
    <n v="1000"/>
    <n v="1.867727535907062"/>
    <n v="535.41"/>
    <s v="Parfaite"/>
    <s v="P-M-D1"/>
    <s v="PALF"/>
    <x v="3"/>
    <s v="CONGO"/>
    <m/>
    <m/>
    <m/>
  </r>
  <r>
    <x v="65"/>
    <s v="Taxi: Bureau- Cabinet d'avocat Maitre Locko/récuperation des rapport mensuel"/>
    <s v="Transport local"/>
    <s v="Office"/>
    <n v="1000"/>
    <n v="1.867727535907062"/>
    <n v="535.41"/>
    <s v="Parfaite"/>
    <s v="P-M-D1"/>
    <s v="PALF"/>
    <x v="3"/>
    <s v="CONGO"/>
    <m/>
    <m/>
    <m/>
  </r>
  <r>
    <x v="65"/>
    <s v="Taxi:  Cabinet d'avocat Maitre Locko- Bureau"/>
    <s v="Transport local"/>
    <s v="Office"/>
    <n v="1000"/>
    <n v="1.867727535907062"/>
    <n v="535.41"/>
    <s v="Parfaite"/>
    <s v="P-M-D1"/>
    <s v="PALF"/>
    <x v="3"/>
    <s v="CONGO"/>
    <m/>
    <m/>
    <m/>
  </r>
  <r>
    <x v="65"/>
    <s v="Taxi moto hotel -parking,départ pour ouesso"/>
    <s v="Transport local"/>
    <s v="Investigation"/>
    <n v="500"/>
    <n v="0.93386376795353099"/>
    <n v="535.41"/>
    <s v="P29"/>
    <s v="P29-M-D1"/>
    <s v="PALF"/>
    <x v="3"/>
    <s v="CONGO"/>
    <m/>
    <m/>
    <m/>
  </r>
  <r>
    <x v="65"/>
    <s v="Taxi port-hotel,arrivé à ouesso"/>
    <s v="Transport local"/>
    <s v="Investigation"/>
    <n v="500"/>
    <n v="0.93386376795353099"/>
    <n v="535.41"/>
    <s v="P29"/>
    <s v="P29-M-D1"/>
    <s v="PALF"/>
    <x v="3"/>
    <s v="CONGO"/>
    <m/>
    <m/>
    <m/>
  </r>
  <r>
    <x v="65"/>
    <s v="P29 -CONGO Frais d'hotel du 20 au 31/03/2026 à pokola(11 Nuitées)"/>
    <s v="Travel subsistence"/>
    <s v="Investigation"/>
    <n v="110000"/>
    <n v="205.45002894977682"/>
    <n v="535.41"/>
    <s v="P29"/>
    <s v="P29-M-R23"/>
    <s v="PALF"/>
    <x v="3"/>
    <s v="CONGO"/>
    <m/>
    <m/>
    <m/>
  </r>
  <r>
    <x v="65"/>
    <s v="Achat billet pokola-ouesso"/>
    <s v="Transport Interurbain"/>
    <s v="Investigation"/>
    <n v="2000"/>
    <n v="3.735455071814124"/>
    <n v="535.41"/>
    <s v="P29"/>
    <s v="P29-M-R24"/>
    <s v="PALF"/>
    <x v="3"/>
    <s v="CONGO"/>
    <m/>
    <m/>
    <m/>
  </r>
  <r>
    <x v="65"/>
    <s v="Pirroque rive pokola-rive ouesso"/>
    <s v="Transport local"/>
    <s v="Investigation"/>
    <n v="1000"/>
    <n v="1.867727535907062"/>
    <n v="535.41"/>
    <s v="P29"/>
    <s v="P29-M-D1"/>
    <s v="PALF"/>
    <x v="3"/>
    <s v="CONGO"/>
    <m/>
    <m/>
    <m/>
  </r>
  <r>
    <x v="65"/>
    <s v="T73 - CONGO Frais d'hotel du 30 au 31/03/2026 à Pokola (01 Nuitée)"/>
    <s v="Travel subsistence"/>
    <s v="Investigation"/>
    <n v="10000"/>
    <n v="18.67727535907062"/>
    <n v="535.41"/>
    <s v="T73"/>
    <s v="T73-M-R39"/>
    <s v="PALF"/>
    <x v="3"/>
    <s v="CONGO"/>
    <m/>
    <m/>
    <m/>
  </r>
  <r>
    <x v="65"/>
    <s v="Taxi moto : hotel Marie bouanga - gare routière"/>
    <s v="Transport local"/>
    <s v="Investigation"/>
    <n v="500"/>
    <n v="0.93386376795353099"/>
    <n v="535.41"/>
    <s v="T73"/>
    <s v="T73-M-D1"/>
    <s v="PALF"/>
    <x v="3"/>
    <s v="CONGO"/>
    <m/>
    <m/>
    <m/>
  </r>
  <r>
    <x v="65"/>
    <s v="Achat billet: Pokola - Ouesso/T73"/>
    <s v="Transport Interurbain"/>
    <s v="Investigation"/>
    <n v="2000"/>
    <n v="3.735455071814124"/>
    <n v="535.41"/>
    <s v="T73"/>
    <s v="T73-M-R40"/>
    <s v="PALF"/>
    <x v="3"/>
    <s v="CONGO"/>
    <m/>
    <m/>
    <m/>
  </r>
  <r>
    <x v="65"/>
    <s v="Traverser rivière sangha"/>
    <s v="Transport local"/>
    <s v="Investigation"/>
    <n v="1000"/>
    <n v="1.867727535907062"/>
    <n v="535.41"/>
    <s v="T73"/>
    <s v="T73-M-D1"/>
    <s v="PALF"/>
    <x v="3"/>
    <s v="CONGO"/>
    <m/>
    <m/>
    <m/>
  </r>
  <r>
    <x v="65"/>
    <s v="Taxi : port - hotel divine (arrivé à pokola)"/>
    <s v="Transport local"/>
    <s v="Investigation"/>
    <n v="500"/>
    <n v="0.93386376795353099"/>
    <n v="535.41"/>
    <s v="T73"/>
    <s v="T73-M-D1"/>
    <s v="PALF"/>
    <x v="3"/>
    <s v="CONGO"/>
    <m/>
    <m/>
    <m/>
  </r>
  <r>
    <x v="65"/>
    <s v="Taxi Domicile- Agence Trans Bony de la Frontière/ pour Ouesso"/>
    <s v="Transport local"/>
    <s v="Legal"/>
    <n v="1000"/>
    <n v="1.867727535907062"/>
    <n v="535.41"/>
    <s v="Donald-Romeo"/>
    <s v="DR-M-D1"/>
    <s v="PALF"/>
    <x v="3"/>
    <s v="CONGO"/>
    <m/>
    <m/>
    <m/>
  </r>
  <r>
    <x v="65"/>
    <s v="Taxi  Agence Trans Bony de Ouesso-Hôtel Royal"/>
    <s v="Transport local"/>
    <s v="Legal"/>
    <n v="500"/>
    <n v="0.93386376795353099"/>
    <n v="535.41"/>
    <s v="Donald-Romeo"/>
    <s v="DR-M-D1"/>
    <s v="PALF"/>
    <x v="3"/>
    <s v="CONGO"/>
    <m/>
    <m/>
    <m/>
  </r>
  <r>
    <x v="65"/>
    <s v="Donald-Roméo-CONGO Ration  du  31 mars au 05/04/2026 à Ouesso"/>
    <s v="Travel subsistence"/>
    <s v="Legal"/>
    <n v="50000"/>
    <n v="93.386376795353101"/>
    <n v="535.41"/>
    <s v="Donald-Romeo"/>
    <s v="DR-M-D4"/>
    <s v="PALF"/>
    <x v="3"/>
    <s v="CONGO"/>
    <m/>
    <m/>
    <m/>
  </r>
  <r>
    <x v="65"/>
    <s v="Taxi, Domicile-Agence Trans Bony de Brazzaville"/>
    <s v="Transport local"/>
    <s v="Media"/>
    <n v="1000"/>
    <n v="1.867727535907062"/>
    <n v="535.41"/>
    <s v="Evariste"/>
    <s v="EV-M-D1"/>
    <s v="PALF"/>
    <x v="3"/>
    <s v="CONGO"/>
    <m/>
    <m/>
    <m/>
  </r>
  <r>
    <x v="65"/>
    <s v="Taxi, Agence Trans Bony de Ouesso-Royal Hôtel"/>
    <s v="Transport local"/>
    <s v="Media"/>
    <n v="500"/>
    <n v="0.93386376795353099"/>
    <n v="535.41"/>
    <s v="Evariste"/>
    <s v="EV-M-D1"/>
    <s v="PALF"/>
    <x v="3"/>
    <s v="CONGO"/>
    <m/>
    <m/>
    <m/>
  </r>
  <r>
    <x v="65"/>
    <s v="Evariste CONGO- Ration du 31 mars au 05 avril 2026 à Ouesso et Pokol ( 5 nuitées )"/>
    <s v="Travel subsistence"/>
    <s v="Media"/>
    <n v="50000"/>
    <n v="93.386376795353101"/>
    <n v="535.41"/>
    <s v="Evariste"/>
    <s v="EV-M-D2"/>
    <s v="PALF"/>
    <x v="3"/>
    <s v="CONGO"/>
    <m/>
    <m/>
    <m/>
  </r>
  <r>
    <x v="65"/>
    <s v="Taxi; Domicile-Agence Trans Bony de la Frontière"/>
    <s v="Transport local"/>
    <s v="Legal"/>
    <n v="2000"/>
    <n v="3.735455071814124"/>
    <n v="535.41"/>
    <s v="Romain"/>
    <s v="RM-M-D1"/>
    <s v="PALF"/>
    <x v="3"/>
    <s v="CONGO"/>
    <m/>
    <m/>
    <m/>
  </r>
  <r>
    <x v="65"/>
    <s v="Taxi: Agence Trans Bony  de Ouesso-Hotel Royal "/>
    <s v="Transport local"/>
    <s v="Legal"/>
    <n v="500"/>
    <n v="0.93386376795353099"/>
    <n v="535.41"/>
    <s v="Romain"/>
    <s v="RM-M-D1"/>
    <s v="PALF"/>
    <x v="3"/>
    <s v="CONGO"/>
    <m/>
    <m/>
    <m/>
  </r>
  <r>
    <x v="65"/>
    <s v="ROMAIN -CONGO: Ration du 31/05/2026 au 05/04/2026 à Ouesso"/>
    <s v="Travel subsistence"/>
    <s v="Legal"/>
    <n v="50000"/>
    <n v="93.386376795353101"/>
    <n v="535.41"/>
    <s v="Romain"/>
    <s v="RM-M-D4"/>
    <s v="PALF"/>
    <x v="3"/>
    <s v="CONGO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2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C15" firstHeaderRow="1" firstDataRow="1" firstDataCol="1"/>
  <pivotFields count="15"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4">
        <item x="5"/>
        <item x="0"/>
        <item x="2"/>
        <item x="9"/>
        <item x="1"/>
        <item x="3"/>
        <item x="4"/>
        <item x="6"/>
        <item x="7"/>
        <item x="8"/>
        <item x="10"/>
        <item x="11"/>
        <item m="1"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Somme de Spent  in XAF" fld="4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2" cacheId="1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D17" firstHeaderRow="0" firstDataRow="1" firstDataCol="1"/>
  <pivotFields count="10">
    <pivotField numFmtId="14" showAll="0"/>
    <pivotField showAll="0"/>
    <pivotField showAll="0"/>
    <pivotField showAll="0"/>
    <pivotField dataField="1" showAll="0"/>
    <pivotField dataField="1" showAll="0"/>
    <pivotField numFmtId="168" showAll="0"/>
    <pivotField axis="axisRow" showAll="0">
      <items count="15">
        <item x="13"/>
        <item x="1"/>
        <item x="10"/>
        <item x="5"/>
        <item x="9"/>
        <item x="3"/>
        <item x="8"/>
        <item x="4"/>
        <item x="12"/>
        <item x="6"/>
        <item x="2"/>
        <item x="0"/>
        <item x="11"/>
        <item x="7"/>
        <item t="default"/>
      </items>
    </pivotField>
    <pivotField showAll="0"/>
    <pivotField showAll="0"/>
  </pivotFields>
  <rowFields count="1">
    <field x="7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Spent " fld="4" baseField="7" baseItem="0"/>
    <dataField name="Somme de Received" fld="5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eau croisé dynamique3" cacheId="2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S10" firstHeaderRow="1" firstDataRow="2" firstDataCol="1"/>
  <pivotFields count="15">
    <pivotField showAll="0"/>
    <pivotField showAll="0"/>
    <pivotField axis="axisCol" showAll="0">
      <items count="20">
        <item x="10"/>
        <item x="2"/>
        <item x="7"/>
        <item x="8"/>
        <item x="1"/>
        <item x="11"/>
        <item x="14"/>
        <item x="12"/>
        <item x="0"/>
        <item m="1" x="16"/>
        <item x="3"/>
        <item x="4"/>
        <item x="5"/>
        <item x="6"/>
        <item x="9"/>
        <item x="13"/>
        <item m="1" x="17"/>
        <item m="1" x="18"/>
        <item x="15"/>
        <item t="default"/>
      </items>
    </pivotField>
    <pivotField axis="axisRow" showAll="0">
      <items count="7">
        <item x="3"/>
        <item x="1"/>
        <item x="0"/>
        <item x="4"/>
        <item x="2"/>
        <item x="5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2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8"/>
    </i>
    <i t="grand">
      <x/>
    </i>
  </colItems>
  <dataFields count="1">
    <dataField name="Somme de Spent  in XAF" fld="4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eau croisé dynamique1" cacheId="3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K2:O14" firstHeaderRow="0" firstDataRow="1" firstDataCol="1"/>
  <pivotFields count="16">
    <pivotField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dataField="1" showAll="0"/>
    <pivotField dataField="1" showAll="0"/>
    <pivotField numFmtId="173" showAll="0"/>
    <pivotField showAll="0"/>
    <pivotField showAll="0"/>
    <pivotField showAll="0"/>
    <pivotField axis="axisRow" showAll="0">
      <items count="5">
        <item x="2"/>
        <item x="3"/>
        <item x="0"/>
        <item x="1"/>
        <item t="default"/>
      </items>
    </pivotField>
    <pivotField showAll="0"/>
    <pivotField dataField="1" showAll="0"/>
    <pivotField dataField="1" showAll="0"/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2">
    <field x="10"/>
    <field x="15"/>
  </rowFields>
  <rowItems count="12">
    <i>
      <x/>
    </i>
    <i r="1">
      <x v="2"/>
    </i>
    <i>
      <x v="1"/>
    </i>
    <i r="1">
      <x v="2"/>
    </i>
    <i r="1">
      <x v="3"/>
    </i>
    <i>
      <x v="2"/>
    </i>
    <i r="1">
      <x v="1"/>
    </i>
    <i r="1">
      <x v="2"/>
    </i>
    <i>
      <x v="3"/>
    </i>
    <i r="1">
      <x v="1"/>
    </i>
    <i r="1"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Receved in XAF" fld="12" baseField="15" baseItem="3"/>
    <dataField name="Somme de Receved  $" fld="13" baseField="15" baseItem="3"/>
    <dataField name="Somme de Spent  in XAF" fld="4" baseField="15" baseItem="3"/>
    <dataField name="Somme de Spent in $" fld="5" baseField="0" baseItem="0"/>
  </dataFields>
  <formats count="2"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G2:H13" firstHeaderRow="1" firstDataRow="1" firstDataCol="1"/>
  <pivotFields count="5">
    <pivotField numFmtId="14" showAll="0"/>
    <pivotField showAll="0"/>
    <pivotField dataField="1" showAll="0"/>
    <pivotField numFmtId="3" showAll="0"/>
    <pivotField axis="axisRow" showAll="0">
      <items count="11">
        <item x="3"/>
        <item x="6"/>
        <item x="1"/>
        <item x="9"/>
        <item x="5"/>
        <item x="8"/>
        <item x="2"/>
        <item x="7"/>
        <item x="4"/>
        <item x="0"/>
        <item t="default"/>
      </items>
    </pivotField>
  </pivotFields>
  <rowFields count="1">
    <field x="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Somme de distributed" fld="2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2" dT="2024-11-19T16:38:26.73" personId="{98584D5A-8469-40CB-92DE-DDEA7199F951}" id="{A12D1BC1-2A0A-4E82-995E-AE42C351895A}">
    <text>Link to the personal balance</text>
  </threadedComment>
  <threadedComment ref="D2" dT="2024-11-19T16:46:00.44" personId="{98584D5A-8469-40CB-92DE-DDEA7199F951}" id="{B9DA9024-4CA0-46CF-BCB7-17B9FFFC34E0}">
    <text>Link to the pivot table „Cash journal“</text>
  </threadedComment>
  <threadedComment ref="E2" dT="2024-11-19T16:46:19.39" personId="{98584D5A-8469-40CB-92DE-DDEA7199F951}" id="{62FAAB4B-6EAF-4972-9E02-C37D118F3FE1}">
    <text>Link to the pivot table „data“</text>
  </threadedComment>
  <threadedComment ref="H2" dT="2024-11-19T16:38:41.72" personId="{98584D5A-8469-40CB-92DE-DDEA7199F951}" id="{CD553CA5-AD13-43FC-A1F7-EF2DE5EF7A94}">
    <text>Link to the personal balance</text>
  </threadedComment>
  <threadedComment ref="I2" dT="2024-11-19T16:38:50.52" personId="{98584D5A-8469-40CB-92DE-DDEA7199F951}" id="{5991BF77-FCF5-4586-9875-1F89E2825A51}">
    <text>formula</text>
  </threadedComment>
  <threadedComment ref="C19" dT="2024-11-19T16:39:21.61" personId="{98584D5A-8469-40CB-92DE-DDEA7199F951}" id="{D10F2EAC-DC88-4867-AF3C-128AC3A279F6}">
    <text>Link to the bank journal</text>
  </threadedComment>
  <threadedComment ref="I19" dT="2024-11-19T16:39:34.22" personId="{98584D5A-8469-40CB-92DE-DDEA7199F951}" id="{E4BF8878-824E-43F9-ABC1-A73CD708EDCD}">
    <text>Link to the bank journal</text>
  </threadedComment>
  <threadedComment ref="C25" dT="2024-11-19T16:39:51.68" personId="{98584D5A-8469-40CB-92DE-DDEA7199F951}" id="{5E3CEF0F-AC62-41D5-A934-AC03EDB0B8D2}">
    <text>Link to the cash journal</text>
  </threadedComment>
  <threadedComment ref="H25" dT="2024-11-19T16:40:03.44" personId="{98584D5A-8469-40CB-92DE-DDEA7199F951}" id="{A6199460-FC62-44E6-AB78-D712E7363C57}">
    <text>Link to the cash journal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6" dT="2024-11-19T17:03:20.17" personId="{98584D5A-8469-40CB-92DE-DDEA7199F951}" id="{C1DF0F66-A833-40DC-8B4A-5A54471ED649}">
    <text>Adjust that according to your country</text>
  </threadedComment>
  <threadedComment ref="F23" dT="2024-11-19T17:02:43.89" personId="{98584D5A-8469-40CB-92DE-DDEA7199F951}" id="{F88D673A-DD35-4DCB-976B-8A96F322437E}">
    <text>Link to the cash journal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M32"/>
  <sheetViews>
    <sheetView tabSelected="1" topLeftCell="A6" zoomScale="83" zoomScaleNormal="83" workbookViewId="0">
      <selection activeCell="E35" sqref="E35"/>
    </sheetView>
  </sheetViews>
  <sheetFormatPr baseColWidth="10" defaultColWidth="8.69921875" defaultRowHeight="13.8"/>
  <cols>
    <col min="1" max="3" width="17.3984375" customWidth="1"/>
    <col min="4" max="4" width="18.3984375" customWidth="1"/>
    <col min="5" max="10" width="17.3984375" customWidth="1"/>
    <col min="12" max="13" width="14.69921875" customWidth="1"/>
  </cols>
  <sheetData>
    <row r="1" spans="1:13" ht="41.4">
      <c r="A1" s="78" t="s">
        <v>10</v>
      </c>
      <c r="B1" s="79" t="s">
        <v>11</v>
      </c>
      <c r="C1" s="79" t="s">
        <v>996</v>
      </c>
      <c r="D1" s="79" t="s">
        <v>12</v>
      </c>
      <c r="E1" s="80" t="s">
        <v>13</v>
      </c>
      <c r="F1" s="80"/>
      <c r="G1" s="80" t="s">
        <v>162</v>
      </c>
      <c r="H1" s="79" t="s">
        <v>999</v>
      </c>
      <c r="I1" s="81" t="s">
        <v>14</v>
      </c>
      <c r="J1" s="5" t="s">
        <v>15</v>
      </c>
      <c r="L1" s="75" t="s">
        <v>172</v>
      </c>
      <c r="M1" s="75"/>
    </row>
    <row r="2" spans="1:13" ht="14.4">
      <c r="A2" s="127" t="s">
        <v>136</v>
      </c>
      <c r="B2" s="6" t="s">
        <v>99</v>
      </c>
      <c r="C2" s="7">
        <f>+'Personals balance  '!H4</f>
        <v>-805519</v>
      </c>
      <c r="D2" s="219">
        <f>GETPIVOTDATA("Somme de Spent ",'Individual received  '!$B$2,"Name","DOVI")+'Balance   '!M2</f>
        <v>1544964</v>
      </c>
      <c r="E2" s="8">
        <f>GETPIVOTDATA("Spent  in XAF",'Individual costs  '!$B$2,"Name","DOVI")</f>
        <v>729464</v>
      </c>
      <c r="F2" s="8"/>
      <c r="G2" s="7">
        <v>0</v>
      </c>
      <c r="H2" s="9">
        <f>'Personals balance  '!H105</f>
        <v>9981</v>
      </c>
      <c r="I2" s="10">
        <f>C2+D2-E2+F2-G2</f>
        <v>9981</v>
      </c>
      <c r="J2" s="11">
        <f>H2-I2</f>
        <v>0</v>
      </c>
      <c r="L2" s="127" t="s">
        <v>136</v>
      </c>
      <c r="M2" s="94">
        <f>+GETPIVOTDATA("distributed",'phone credit '!$G$2,"name","Dovi")</f>
        <v>40000</v>
      </c>
    </row>
    <row r="3" spans="1:13" ht="14.4">
      <c r="A3" s="127" t="s">
        <v>128</v>
      </c>
      <c r="B3" s="6" t="s">
        <v>99</v>
      </c>
      <c r="C3" s="7">
        <f>+'Personals balance  '!H109</f>
        <v>35020</v>
      </c>
      <c r="D3" s="219">
        <f>GETPIVOTDATA("Somme de Spent ",'Individual received  '!$B$2,"Name","Crepin")+'Balance   '!M3</f>
        <v>346370</v>
      </c>
      <c r="E3" s="8">
        <f>GETPIVOTDATA("Spent  in XAF",'Individual costs  '!$B$2,"Name","Crépin")</f>
        <v>251870</v>
      </c>
      <c r="F3" s="8"/>
      <c r="G3" s="7">
        <v>0</v>
      </c>
      <c r="H3" s="9">
        <f>+'Personals balance  '!H144</f>
        <v>129520</v>
      </c>
      <c r="I3" s="10">
        <f>C3+D3-E3+F3-G3</f>
        <v>129520</v>
      </c>
      <c r="J3" s="11">
        <f t="shared" ref="J3:J15" si="0">H3-I3</f>
        <v>0</v>
      </c>
      <c r="L3" s="127" t="s">
        <v>128</v>
      </c>
      <c r="M3" s="94">
        <f>GETPIVOTDATA("distributed",'phone credit '!$G$2,"name","Crepin")</f>
        <v>30000</v>
      </c>
    </row>
    <row r="4" spans="1:13" ht="14.4">
      <c r="A4" s="127" t="s">
        <v>114</v>
      </c>
      <c r="B4" s="6" t="s">
        <v>98</v>
      </c>
      <c r="C4" s="7">
        <f>'Personals balance  '!H149</f>
        <v>0</v>
      </c>
      <c r="D4" s="219">
        <f>0+M4</f>
        <v>0</v>
      </c>
      <c r="E4" s="8">
        <v>0</v>
      </c>
      <c r="F4" s="8"/>
      <c r="G4" s="7">
        <v>0</v>
      </c>
      <c r="H4" s="9">
        <f>+'Personals balance  '!H150</f>
        <v>0</v>
      </c>
      <c r="I4" s="10">
        <f t="shared" ref="I4:I10" si="1">C4+D4-E4+F4-G4</f>
        <v>0</v>
      </c>
      <c r="J4" s="11">
        <f t="shared" si="0"/>
        <v>0</v>
      </c>
      <c r="L4" s="127" t="s">
        <v>114</v>
      </c>
      <c r="M4" s="75">
        <v>0</v>
      </c>
    </row>
    <row r="5" spans="1:13" ht="14.4">
      <c r="A5" s="127" t="s">
        <v>168</v>
      </c>
      <c r="B5" s="6" t="s">
        <v>98</v>
      </c>
      <c r="C5" s="7">
        <f>+'Personals balance  '!H155</f>
        <v>-12000</v>
      </c>
      <c r="D5" s="219">
        <f>GETPIVOTDATA("Somme de Spent ",'Individual received  '!$B$2,"Name","Parfaite")+'Balance   '!M5</f>
        <v>618423</v>
      </c>
      <c r="E5" s="8">
        <f>GETPIVOTDATA("Spent  in XAF",'Individual costs  '!$B$2,"Name","Parfaite")</f>
        <v>597923</v>
      </c>
      <c r="F5" s="8"/>
      <c r="G5" s="7">
        <f>GETPIVOTDATA("Somme de Received",'Individual received  '!$B$2,"Name","Parfaite")</f>
        <v>0</v>
      </c>
      <c r="H5" s="9">
        <f>+'Personals balance  '!H283</f>
        <v>8500</v>
      </c>
      <c r="I5" s="10">
        <f>C5+D5-E5+F5-G5</f>
        <v>8500</v>
      </c>
      <c r="J5" s="11">
        <f>H5-I5</f>
        <v>0</v>
      </c>
      <c r="L5" s="127" t="s">
        <v>168</v>
      </c>
      <c r="M5" s="94">
        <f>GETPIVOTDATA("distributed",'phone credit '!$G$2,"name","Parfaite")</f>
        <v>20000</v>
      </c>
    </row>
    <row r="6" spans="1:13" ht="14.4">
      <c r="A6" s="129" t="s">
        <v>137</v>
      </c>
      <c r="B6" s="130" t="s">
        <v>138</v>
      </c>
      <c r="C6" s="148">
        <v>233614</v>
      </c>
      <c r="D6" s="149"/>
      <c r="E6" s="149"/>
      <c r="F6" s="149"/>
      <c r="G6" s="148"/>
      <c r="H6" s="150">
        <v>233614</v>
      </c>
      <c r="I6" s="151">
        <f t="shared" si="1"/>
        <v>233614</v>
      </c>
      <c r="J6" s="11">
        <f t="shared" si="0"/>
        <v>0</v>
      </c>
      <c r="L6" s="129" t="s">
        <v>137</v>
      </c>
      <c r="M6" s="75"/>
    </row>
    <row r="7" spans="1:13" ht="14.4">
      <c r="A7" s="129" t="s">
        <v>139</v>
      </c>
      <c r="B7" s="130" t="s">
        <v>138</v>
      </c>
      <c r="C7" s="148">
        <v>249769</v>
      </c>
      <c r="D7" s="149"/>
      <c r="E7" s="149"/>
      <c r="F7" s="149"/>
      <c r="G7" s="148"/>
      <c r="H7" s="150">
        <v>249769</v>
      </c>
      <c r="I7" s="151">
        <f t="shared" si="1"/>
        <v>249769</v>
      </c>
      <c r="J7" s="11">
        <f t="shared" si="0"/>
        <v>0</v>
      </c>
      <c r="L7" s="129" t="s">
        <v>139</v>
      </c>
      <c r="M7" s="75"/>
    </row>
    <row r="8" spans="1:13" ht="15">
      <c r="A8" s="128" t="s">
        <v>131</v>
      </c>
      <c r="B8" s="6" t="s">
        <v>138</v>
      </c>
      <c r="C8" s="7">
        <f>+'Personals balance  '!H579</f>
        <v>-4900</v>
      </c>
      <c r="D8" s="219">
        <f>GETPIVOTDATA("Somme de Spent ",'Individual received  '!$B$2,"Name","IT87")+'Balance   '!M8</f>
        <v>629000</v>
      </c>
      <c r="E8" s="8">
        <f>GETPIVOTDATA("Spent  in XAF",'Individual costs  '!$B$2,"Name","IT87")</f>
        <v>613900</v>
      </c>
      <c r="F8" s="8"/>
      <c r="G8" s="7">
        <v>0</v>
      </c>
      <c r="H8" s="9">
        <f>+'Personals balance  '!H729</f>
        <v>10200</v>
      </c>
      <c r="I8" s="10">
        <f t="shared" si="1"/>
        <v>10200</v>
      </c>
      <c r="J8" s="11">
        <f t="shared" si="0"/>
        <v>0</v>
      </c>
      <c r="L8" s="128" t="s">
        <v>131</v>
      </c>
      <c r="M8" s="94">
        <f>GETPIVOTDATA("distributed",'phone credit '!$G$2,"name","IT87")</f>
        <v>30000</v>
      </c>
    </row>
    <row r="9" spans="1:13" ht="14.4">
      <c r="A9" s="127" t="s">
        <v>123</v>
      </c>
      <c r="B9" s="6" t="s">
        <v>138</v>
      </c>
      <c r="C9" s="7">
        <f>+'Personals balance  '!H288</f>
        <v>-490</v>
      </c>
      <c r="D9" s="219">
        <f>GETPIVOTDATA("Somme de Spent ",'Individual received  '!$B$2,"Name","P29")+'Balance   '!M9</f>
        <v>618000</v>
      </c>
      <c r="E9" s="8">
        <f>GETPIVOTDATA("Spent  in XAF",'Individual costs  '!$B$2,"Name","P29")</f>
        <v>608500</v>
      </c>
      <c r="F9" s="8"/>
      <c r="G9" s="7">
        <f>0</f>
        <v>0</v>
      </c>
      <c r="H9" s="9">
        <f>+'Personals balance  '!H409</f>
        <v>9010</v>
      </c>
      <c r="I9" s="10">
        <f t="shared" si="1"/>
        <v>9010</v>
      </c>
      <c r="J9" s="11">
        <f t="shared" si="0"/>
        <v>0</v>
      </c>
      <c r="L9" s="127" t="s">
        <v>123</v>
      </c>
      <c r="M9" s="94">
        <f>GETPIVOTDATA("distributed",'phone credit '!$G$2,"name","P29")</f>
        <v>30000</v>
      </c>
    </row>
    <row r="10" spans="1:13" ht="14.4">
      <c r="A10" s="127" t="s">
        <v>122</v>
      </c>
      <c r="B10" s="6" t="s">
        <v>138</v>
      </c>
      <c r="C10" s="7">
        <f>+'Personals balance  '!H414</f>
        <v>61350</v>
      </c>
      <c r="D10" s="219">
        <f>GETPIVOTDATA("Somme de Spent ",'Individual received  '!$B$2,"Name","T73")+'Balance   '!M10</f>
        <v>842000</v>
      </c>
      <c r="E10" s="8">
        <f>GETPIVOTDATA("Spent  in XAF",'Individual costs  '!$B$2,"Name","T73")</f>
        <v>833650</v>
      </c>
      <c r="F10" s="8"/>
      <c r="G10" s="7">
        <f>GETPIVOTDATA("Somme de Received",'Individual received  '!$B$2,"Name","T73")</f>
        <v>30000</v>
      </c>
      <c r="H10" s="9">
        <f>+'Personals balance  '!H574</f>
        <v>39700</v>
      </c>
      <c r="I10" s="10">
        <f t="shared" si="1"/>
        <v>39700</v>
      </c>
      <c r="J10" s="11">
        <f t="shared" si="0"/>
        <v>0</v>
      </c>
      <c r="L10" s="127" t="s">
        <v>122</v>
      </c>
      <c r="M10" s="94">
        <f>GETPIVOTDATA("distributed",'phone credit '!$G$2,"name","T73")</f>
        <v>30000</v>
      </c>
    </row>
    <row r="11" spans="1:13" ht="14.4">
      <c r="A11" s="124" t="s">
        <v>132</v>
      </c>
      <c r="B11" s="217" t="s">
        <v>138</v>
      </c>
      <c r="C11" s="218">
        <f>+'Personals balance  '!H734</f>
        <v>0</v>
      </c>
      <c r="D11" s="219">
        <f t="shared" ref="D11" si="2">0+M11</f>
        <v>0</v>
      </c>
      <c r="E11" s="219">
        <v>0</v>
      </c>
      <c r="F11" s="219"/>
      <c r="G11" s="218">
        <v>0</v>
      </c>
      <c r="H11" s="220">
        <f>+'Personals balance  '!H735</f>
        <v>0</v>
      </c>
      <c r="I11" s="221">
        <f t="shared" ref="I11:I16" si="3">C11+D11-E11+F11-G11</f>
        <v>0</v>
      </c>
      <c r="J11" s="11">
        <f t="shared" si="0"/>
        <v>0</v>
      </c>
      <c r="L11" s="75" t="s">
        <v>132</v>
      </c>
      <c r="M11" s="94">
        <v>0</v>
      </c>
    </row>
    <row r="12" spans="1:13" ht="14.4">
      <c r="A12" s="222" t="s">
        <v>124</v>
      </c>
      <c r="B12" s="217" t="s">
        <v>97</v>
      </c>
      <c r="C12" s="223">
        <f>+'Personals balance  '!H876</f>
        <v>3247</v>
      </c>
      <c r="D12" s="219">
        <f>GETPIVOTDATA("Somme de Spent ",'Individual received  '!$B$2,"Name","Romain")+'Balance   '!M12</f>
        <v>343490</v>
      </c>
      <c r="E12" s="224">
        <f>GETPIVOTDATA("Spent  in XAF",'Individual costs  '!$B$2,"Name","Romain")</f>
        <v>315490</v>
      </c>
      <c r="F12" s="124"/>
      <c r="G12" s="124">
        <f>+GETPIVOTDATA("Somme de Received",'Individual received  '!$B$2,"Name",)</f>
        <v>0</v>
      </c>
      <c r="H12" s="223">
        <f>+'Personals balance  '!H931</f>
        <v>31247</v>
      </c>
      <c r="I12" s="221">
        <f>C12+D12-E12+F12-G12</f>
        <v>31247</v>
      </c>
      <c r="J12" s="11">
        <f t="shared" si="0"/>
        <v>0</v>
      </c>
      <c r="L12" s="127" t="s">
        <v>124</v>
      </c>
      <c r="M12" s="94">
        <f>GETPIVOTDATA("distributed",'phone credit '!$G$2,"name","Romain")</f>
        <v>17500</v>
      </c>
    </row>
    <row r="13" spans="1:13" ht="14.4">
      <c r="A13" s="127" t="s">
        <v>134</v>
      </c>
      <c r="B13" s="6" t="s">
        <v>97</v>
      </c>
      <c r="C13" s="12">
        <f>+'Personals balance  '!H755</f>
        <v>13130</v>
      </c>
      <c r="D13" s="223">
        <f>GETPIVOTDATA("Somme de Spent ",'Individual received  '!$B$2,"Name","Donald-Roméo")+M13</f>
        <v>341070</v>
      </c>
      <c r="E13" s="13">
        <f>GETPIVOTDATA("Spent  in XAF",'Individual costs  '!$B$2,"Name","Donald-Romeo")</f>
        <v>311070</v>
      </c>
      <c r="F13" s="75"/>
      <c r="G13" s="121">
        <v>0</v>
      </c>
      <c r="H13" s="122">
        <f>+'Personals balance  '!H798</f>
        <v>43130</v>
      </c>
      <c r="I13" s="10">
        <f t="shared" si="3"/>
        <v>43130</v>
      </c>
      <c r="J13" s="11">
        <f t="shared" si="0"/>
        <v>0</v>
      </c>
      <c r="L13" s="127" t="s">
        <v>134</v>
      </c>
      <c r="M13" s="94">
        <f>GETPIVOTDATA("distributed",'phone credit '!$G$2,"name","Donald-Romeo")</f>
        <v>25500</v>
      </c>
    </row>
    <row r="14" spans="1:13" ht="14.4">
      <c r="A14" s="127" t="s">
        <v>125</v>
      </c>
      <c r="B14" s="6" t="s">
        <v>97</v>
      </c>
      <c r="C14" s="12">
        <f>+'Personals balance  '!H739</f>
        <v>0</v>
      </c>
      <c r="D14" s="223">
        <f>GETPIVOTDATA("Somme de Spent ",'Individual received  '!$B$2,"Name","Abraham")</f>
        <v>127070</v>
      </c>
      <c r="E14" s="13">
        <f>GETPIVOTDATA("Spent  in XAF",'Individual costs  '!$B$2,"Name","Abraham")</f>
        <v>127070</v>
      </c>
      <c r="F14" s="75"/>
      <c r="G14" s="121">
        <f>0</f>
        <v>0</v>
      </c>
      <c r="H14" s="122">
        <f>+'Personals balance  '!H742</f>
        <v>0</v>
      </c>
      <c r="I14" s="10">
        <f t="shared" si="3"/>
        <v>0</v>
      </c>
      <c r="J14" s="11">
        <f t="shared" si="0"/>
        <v>0</v>
      </c>
      <c r="L14" s="127" t="s">
        <v>125</v>
      </c>
      <c r="M14" s="94">
        <v>0</v>
      </c>
    </row>
    <row r="15" spans="1:13" ht="14.4">
      <c r="A15" s="127" t="s">
        <v>126</v>
      </c>
      <c r="B15" s="6" t="s">
        <v>97</v>
      </c>
      <c r="C15" s="12">
        <f>+'Personals balance  '!H748</f>
        <v>0</v>
      </c>
      <c r="D15" s="223">
        <f>GETPIVOTDATA("Somme de Spent ",'Individual received  '!$B$2,"Name","Roderlin")</f>
        <v>127070</v>
      </c>
      <c r="E15" s="13">
        <f>GETPIVOTDATA("Spent  in XAF",'Individual costs  '!$B$2,"Name","Roderlin")</f>
        <v>127070</v>
      </c>
      <c r="F15" s="75"/>
      <c r="G15" s="121">
        <f>0</f>
        <v>0</v>
      </c>
      <c r="H15" s="122">
        <f>+'Personals balance  '!H751</f>
        <v>0</v>
      </c>
      <c r="I15" s="10">
        <f t="shared" si="3"/>
        <v>0</v>
      </c>
      <c r="J15" s="11">
        <f t="shared" si="0"/>
        <v>0</v>
      </c>
      <c r="L15" s="127" t="s">
        <v>126</v>
      </c>
      <c r="M15" s="94">
        <v>0</v>
      </c>
    </row>
    <row r="16" spans="1:13" ht="14.4">
      <c r="A16" s="127" t="s">
        <v>129</v>
      </c>
      <c r="B16" s="6" t="s">
        <v>100</v>
      </c>
      <c r="C16" s="12">
        <f>+'Personals balance  '!H802</f>
        <v>14650</v>
      </c>
      <c r="D16" s="223">
        <f>GETPIVOTDATA("Somme de Spent ",'Individual received  '!$B$2,"Name","Evariste")+'Balance   '!M16</f>
        <v>405780</v>
      </c>
      <c r="E16" s="13">
        <f>GETPIVOTDATA("Spent  in XAF",'Individual costs  '!$B$2,"Name","Evariste")</f>
        <v>381280</v>
      </c>
      <c r="F16" s="75"/>
      <c r="G16" s="121">
        <f>0</f>
        <v>0</v>
      </c>
      <c r="H16" s="122">
        <f>'Personals balance  '!H870</f>
        <v>39150</v>
      </c>
      <c r="I16" s="10">
        <f t="shared" si="3"/>
        <v>39150</v>
      </c>
      <c r="J16" s="11">
        <f>H16-I16</f>
        <v>0</v>
      </c>
      <c r="L16" s="127" t="s">
        <v>129</v>
      </c>
      <c r="M16" s="94">
        <f>GETPIVOTDATA("distributed",'phone credit '!$G$2,"name","Evariste")</f>
        <v>25500</v>
      </c>
    </row>
    <row r="17" spans="1:13" ht="14.4">
      <c r="A17" s="14" t="s">
        <v>18</v>
      </c>
      <c r="B17" s="15"/>
      <c r="C17" s="16">
        <f t="shared" ref="C17:I17" si="4">SUM(C2:C16)</f>
        <v>-212129</v>
      </c>
      <c r="D17" s="16">
        <f t="shared" si="4"/>
        <v>5943237</v>
      </c>
      <c r="E17" s="16">
        <f t="shared" si="4"/>
        <v>4897287</v>
      </c>
      <c r="F17" s="16">
        <f t="shared" si="4"/>
        <v>0</v>
      </c>
      <c r="G17" s="16">
        <f t="shared" si="4"/>
        <v>30000</v>
      </c>
      <c r="H17" s="16">
        <f t="shared" si="4"/>
        <v>803821</v>
      </c>
      <c r="I17" s="16">
        <f t="shared" si="4"/>
        <v>803821</v>
      </c>
      <c r="J17" s="17">
        <f>H17-I17</f>
        <v>0</v>
      </c>
      <c r="M17" s="71">
        <f>SUM(M2:M16)</f>
        <v>248500</v>
      </c>
    </row>
    <row r="18" spans="1:13" ht="14.4">
      <c r="A18" s="18"/>
      <c r="B18" s="19"/>
      <c r="C18" s="20"/>
      <c r="D18" s="21"/>
      <c r="E18" s="21"/>
      <c r="F18" s="76" t="s">
        <v>16</v>
      </c>
      <c r="G18" s="77" t="s">
        <v>17</v>
      </c>
      <c r="H18" s="20"/>
      <c r="I18" s="22"/>
      <c r="J18" s="11"/>
    </row>
    <row r="19" spans="1:13" ht="14.4">
      <c r="A19" s="23" t="s">
        <v>28</v>
      </c>
      <c r="B19" s="24"/>
      <c r="C19" s="25">
        <f>+'Bank journal  '!G2</f>
        <v>1757673</v>
      </c>
      <c r="D19" s="26">
        <f xml:space="preserve"> 'DATA '!M171</f>
        <v>32124589</v>
      </c>
      <c r="E19" s="25">
        <f>GETPIVOTDATA("Spent  in XAF",'Individual costs  '!$B$2,"Name","BCI")</f>
        <v>14311743</v>
      </c>
      <c r="F19" s="25"/>
      <c r="G19" s="25">
        <f>GETPIVOTDATA("Somme de Received",'Individual received  '!$B$2,"Name","BCI")</f>
        <v>6790000</v>
      </c>
      <c r="H19" s="26">
        <f>'Bank reconciliation  '!D84</f>
        <v>12780519</v>
      </c>
      <c r="I19" s="27">
        <f>C19+D19-E19+F19-G19</f>
        <v>12780519</v>
      </c>
      <c r="J19" s="11">
        <f>H19-I19</f>
        <v>0</v>
      </c>
    </row>
    <row r="20" spans="1:13" ht="14.4">
      <c r="A20" s="82" t="s">
        <v>19</v>
      </c>
      <c r="B20" s="83"/>
      <c r="C20" s="83">
        <f t="shared" ref="C20:I20" si="5">SUM(C19:C19)</f>
        <v>1757673</v>
      </c>
      <c r="D20" s="83">
        <f t="shared" si="5"/>
        <v>32124589</v>
      </c>
      <c r="E20" s="83">
        <f t="shared" si="5"/>
        <v>14311743</v>
      </c>
      <c r="F20" s="83">
        <f t="shared" si="5"/>
        <v>0</v>
      </c>
      <c r="G20" s="83">
        <f t="shared" si="5"/>
        <v>6790000</v>
      </c>
      <c r="H20" s="83">
        <f t="shared" si="5"/>
        <v>12780519</v>
      </c>
      <c r="I20" s="84">
        <f t="shared" si="5"/>
        <v>12780519</v>
      </c>
      <c r="J20" s="17">
        <f>H20-I20</f>
        <v>0</v>
      </c>
    </row>
    <row r="21" spans="1:13" ht="14.4">
      <c r="A21" s="28" t="s">
        <v>20</v>
      </c>
      <c r="B21" s="29"/>
      <c r="C21" s="29"/>
      <c r="D21" s="30"/>
      <c r="E21" s="31"/>
      <c r="F21" s="29"/>
      <c r="G21" s="29"/>
      <c r="H21" s="29"/>
      <c r="I21" s="32"/>
      <c r="J21" s="33"/>
    </row>
    <row r="22" spans="1:13" ht="15" thickBot="1">
      <c r="A22" s="34"/>
      <c r="B22" s="35"/>
      <c r="C22" s="35"/>
      <c r="D22" s="35"/>
      <c r="E22" s="35"/>
      <c r="F22" s="35"/>
      <c r="G22" s="35"/>
      <c r="H22" s="35"/>
      <c r="I22" s="36"/>
      <c r="J22" s="11"/>
    </row>
    <row r="23" spans="1:13" ht="15" thickBot="1">
      <c r="A23" s="37" t="s">
        <v>21</v>
      </c>
      <c r="B23" s="38"/>
      <c r="C23" s="38"/>
      <c r="D23" s="38"/>
      <c r="E23" s="38">
        <f>E17+E20</f>
        <v>19209030</v>
      </c>
      <c r="F23" s="38"/>
      <c r="G23" s="38"/>
      <c r="H23" s="38"/>
      <c r="I23" s="39"/>
      <c r="J23" s="40"/>
    </row>
    <row r="24" spans="1:13" ht="14.4">
      <c r="A24" s="41"/>
      <c r="B24" s="42"/>
      <c r="C24" s="42"/>
      <c r="D24" s="42"/>
      <c r="E24" s="42"/>
      <c r="F24" s="42"/>
      <c r="G24" s="42"/>
      <c r="H24" s="42"/>
      <c r="I24" s="43"/>
      <c r="J24" s="11"/>
    </row>
    <row r="25" spans="1:13" ht="14.4">
      <c r="A25" s="44" t="s">
        <v>22</v>
      </c>
      <c r="B25" s="45"/>
      <c r="C25" s="46">
        <f>'Cash journal   '!G2</f>
        <v>16561</v>
      </c>
      <c r="D25" s="47">
        <f>GETPIVOTDATA("Somme de Received",'Individual received  '!$B$2)</f>
        <v>6820000</v>
      </c>
      <c r="E25" s="47">
        <f>GETPIVOTDATA("Somme de Spent ",'Individual received  '!$B$2)</f>
        <v>5943237</v>
      </c>
      <c r="F25" s="47"/>
      <c r="G25" s="47"/>
      <c r="H25" s="47">
        <f>'Cash desk closing '!F23</f>
        <v>893324</v>
      </c>
      <c r="I25" s="48">
        <f>C25+D25-E25+F25</f>
        <v>893324</v>
      </c>
      <c r="J25" s="11">
        <f>H25-I25</f>
        <v>0</v>
      </c>
    </row>
    <row r="26" spans="1:13" ht="15" thickBot="1">
      <c r="A26" s="49"/>
      <c r="B26" s="50"/>
      <c r="C26" s="50"/>
      <c r="D26" s="50"/>
      <c r="E26" s="50"/>
      <c r="F26" s="50"/>
      <c r="G26" s="50"/>
      <c r="H26" s="50"/>
      <c r="I26" s="50"/>
      <c r="J26" s="51"/>
    </row>
    <row r="27" spans="1:13" ht="15.6">
      <c r="A27" s="52"/>
      <c r="B27" s="53"/>
      <c r="C27" s="54"/>
      <c r="D27" s="503" t="s">
        <v>23</v>
      </c>
      <c r="E27" s="503"/>
      <c r="F27" s="54"/>
      <c r="G27" s="54"/>
      <c r="H27" s="54"/>
      <c r="I27" s="55"/>
      <c r="J27" s="56"/>
    </row>
    <row r="28" spans="1:13" ht="46.8">
      <c r="A28" s="57"/>
      <c r="B28" s="58"/>
      <c r="C28" s="59" t="s">
        <v>997</v>
      </c>
      <c r="D28" s="59" t="s">
        <v>31</v>
      </c>
      <c r="E28" s="59" t="s">
        <v>24</v>
      </c>
      <c r="F28" s="59"/>
      <c r="G28" s="59"/>
      <c r="H28" s="59" t="s">
        <v>998</v>
      </c>
      <c r="I28" s="59" t="s">
        <v>25</v>
      </c>
      <c r="J28" s="60" t="s">
        <v>26</v>
      </c>
    </row>
    <row r="29" spans="1:13" ht="16.2" thickBot="1">
      <c r="A29" s="61" t="s">
        <v>27</v>
      </c>
      <c r="B29" s="62"/>
      <c r="C29" s="63">
        <f>C25+C20+C17</f>
        <v>1562105</v>
      </c>
      <c r="D29" s="63">
        <f>+D20</f>
        <v>32124589</v>
      </c>
      <c r="E29" s="63">
        <f>E23</f>
        <v>19209030</v>
      </c>
      <c r="F29" s="64"/>
      <c r="G29" s="63"/>
      <c r="H29" s="63">
        <f>+H25+H20+H17</f>
        <v>14477664</v>
      </c>
      <c r="I29" s="63">
        <f>C29+D29-E29</f>
        <v>14477664</v>
      </c>
      <c r="J29" s="65">
        <f>H29-I29</f>
        <v>0</v>
      </c>
    </row>
    <row r="31" spans="1:13">
      <c r="F31" s="155"/>
    </row>
    <row r="32" spans="1:13">
      <c r="F32" s="155"/>
    </row>
  </sheetData>
  <mergeCells count="1">
    <mergeCell ref="D27:E27"/>
  </mergeCells>
  <phoneticPr fontId="28" type="noConversion"/>
  <pageMargins left="0.7" right="0.7" top="0.78740157499999996" bottom="0.78740157499999996" header="0.3" footer="0.3"/>
  <ignoredErrors>
    <ignoredError sqref="D12" formula="1"/>
  </ignoredErrors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0"/>
  <dimension ref="B1:G31"/>
  <sheetViews>
    <sheetView topLeftCell="A22" workbookViewId="0">
      <selection activeCell="R38" sqref="R38"/>
    </sheetView>
  </sheetViews>
  <sheetFormatPr baseColWidth="10" defaultColWidth="8.69921875" defaultRowHeight="13.8"/>
  <cols>
    <col min="1" max="1" width="2.69921875" customWidth="1"/>
    <col min="2" max="2" width="15.09765625" customWidth="1"/>
    <col min="3" max="3" width="11.09765625" style="71" customWidth="1"/>
    <col min="4" max="4" width="11.09765625" style="96" customWidth="1"/>
    <col min="5" max="5" width="11.09765625" customWidth="1"/>
    <col min="6" max="6" width="14.69921875" customWidth="1"/>
  </cols>
  <sheetData>
    <row r="1" spans="2:6">
      <c r="B1" t="s">
        <v>66</v>
      </c>
      <c r="C1" s="71" t="s">
        <v>96</v>
      </c>
    </row>
    <row r="2" spans="2:6">
      <c r="B2" t="s">
        <v>67</v>
      </c>
      <c r="C2" s="71" t="s">
        <v>914</v>
      </c>
    </row>
    <row r="3" spans="2:6">
      <c r="B3" t="s">
        <v>68</v>
      </c>
      <c r="C3" s="141">
        <v>2026</v>
      </c>
    </row>
    <row r="4" spans="2:6">
      <c r="C4"/>
    </row>
    <row r="5" spans="2:6">
      <c r="B5" s="90" t="s">
        <v>56</v>
      </c>
      <c r="C5" s="94"/>
      <c r="D5" s="95"/>
      <c r="E5" s="75"/>
      <c r="F5" s="75"/>
    </row>
    <row r="6" spans="2:6">
      <c r="B6" s="90"/>
      <c r="C6" s="94" t="s">
        <v>62</v>
      </c>
      <c r="D6" s="95"/>
      <c r="E6" s="75" t="s">
        <v>63</v>
      </c>
      <c r="F6" s="75"/>
    </row>
    <row r="7" spans="2:6">
      <c r="B7" s="75"/>
      <c r="C7" s="94">
        <v>10000</v>
      </c>
      <c r="D7" s="95" t="s">
        <v>57</v>
      </c>
      <c r="E7" s="75">
        <v>89</v>
      </c>
      <c r="F7" s="91">
        <f>C7*E7</f>
        <v>890000</v>
      </c>
    </row>
    <row r="8" spans="2:6">
      <c r="B8" s="75"/>
      <c r="C8" s="94">
        <v>5000</v>
      </c>
      <c r="D8" s="95" t="s">
        <v>57</v>
      </c>
      <c r="E8" s="75">
        <v>0</v>
      </c>
      <c r="F8" s="91">
        <f>C8*E8</f>
        <v>0</v>
      </c>
    </row>
    <row r="9" spans="2:6">
      <c r="B9" s="75"/>
      <c r="C9" s="94">
        <v>2000</v>
      </c>
      <c r="D9" s="95" t="s">
        <v>57</v>
      </c>
      <c r="E9" s="75">
        <v>1</v>
      </c>
      <c r="F9" s="91">
        <f>C9*E9</f>
        <v>2000</v>
      </c>
    </row>
    <row r="10" spans="2:6">
      <c r="B10" s="75"/>
      <c r="C10" s="94">
        <v>1000</v>
      </c>
      <c r="D10" s="95" t="s">
        <v>57</v>
      </c>
      <c r="E10" s="75">
        <v>1</v>
      </c>
      <c r="F10" s="91">
        <f>C10*E10</f>
        <v>1000</v>
      </c>
    </row>
    <row r="11" spans="2:6">
      <c r="B11" s="75"/>
      <c r="C11" s="94">
        <v>500</v>
      </c>
      <c r="D11" s="95" t="s">
        <v>57</v>
      </c>
      <c r="E11" s="75">
        <v>0</v>
      </c>
      <c r="F11" s="91">
        <f>C11*E11</f>
        <v>0</v>
      </c>
    </row>
    <row r="12" spans="2:6">
      <c r="B12" s="75"/>
      <c r="C12" s="94"/>
      <c r="D12" s="95"/>
      <c r="E12" s="75"/>
      <c r="F12" s="75"/>
    </row>
    <row r="13" spans="2:6">
      <c r="B13" s="92" t="s">
        <v>58</v>
      </c>
      <c r="C13" s="94"/>
      <c r="D13" s="95"/>
      <c r="E13" s="75"/>
      <c r="F13" s="75"/>
    </row>
    <row r="14" spans="2:6">
      <c r="B14" s="75"/>
      <c r="C14" s="94">
        <v>500</v>
      </c>
      <c r="D14" s="95" t="s">
        <v>57</v>
      </c>
      <c r="E14" s="75">
        <v>0</v>
      </c>
      <c r="F14" s="75">
        <f t="shared" ref="F14:F19" si="0">C14*E14</f>
        <v>0</v>
      </c>
    </row>
    <row r="15" spans="2:6">
      <c r="B15" s="75"/>
      <c r="C15" s="94">
        <v>100</v>
      </c>
      <c r="D15" s="95" t="s">
        <v>57</v>
      </c>
      <c r="E15" s="75">
        <v>3</v>
      </c>
      <c r="F15" s="75">
        <f t="shared" si="0"/>
        <v>300</v>
      </c>
    </row>
    <row r="16" spans="2:6">
      <c r="B16" s="75"/>
      <c r="C16" s="94">
        <v>50</v>
      </c>
      <c r="D16" s="95" t="s">
        <v>57</v>
      </c>
      <c r="E16" s="75">
        <v>0</v>
      </c>
      <c r="F16" s="75">
        <f t="shared" si="0"/>
        <v>0</v>
      </c>
    </row>
    <row r="17" spans="2:7">
      <c r="B17" s="75"/>
      <c r="C17" s="94">
        <v>25</v>
      </c>
      <c r="D17" s="95" t="s">
        <v>57</v>
      </c>
      <c r="E17" s="75">
        <v>1</v>
      </c>
      <c r="F17" s="75">
        <f t="shared" si="0"/>
        <v>25</v>
      </c>
    </row>
    <row r="18" spans="2:7">
      <c r="B18" s="75"/>
      <c r="C18" s="94">
        <v>10</v>
      </c>
      <c r="D18" s="95" t="s">
        <v>57</v>
      </c>
      <c r="E18" s="75">
        <v>0</v>
      </c>
      <c r="F18" s="75">
        <f t="shared" si="0"/>
        <v>0</v>
      </c>
    </row>
    <row r="19" spans="2:7">
      <c r="B19" s="75"/>
      <c r="C19" s="94">
        <v>5</v>
      </c>
      <c r="D19" s="95" t="s">
        <v>57</v>
      </c>
      <c r="E19" s="75">
        <v>0</v>
      </c>
      <c r="F19" s="75">
        <f t="shared" si="0"/>
        <v>0</v>
      </c>
    </row>
    <row r="20" spans="2:7">
      <c r="B20" s="75"/>
      <c r="C20" s="94"/>
      <c r="D20" s="95"/>
      <c r="E20" s="75"/>
      <c r="F20" s="93">
        <f>SUM(F7:F19)</f>
        <v>893325</v>
      </c>
    </row>
    <row r="21" spans="2:7">
      <c r="B21" s="75"/>
      <c r="C21" s="94"/>
      <c r="D21" s="95"/>
      <c r="E21" s="75"/>
      <c r="F21" s="90"/>
    </row>
    <row r="22" spans="2:7">
      <c r="B22" s="75" t="s">
        <v>59</v>
      </c>
      <c r="C22" s="94"/>
      <c r="D22" s="95"/>
      <c r="E22" s="75"/>
      <c r="F22" s="93">
        <f>F20</f>
        <v>893325</v>
      </c>
    </row>
    <row r="23" spans="2:7">
      <c r="B23" s="75" t="s">
        <v>60</v>
      </c>
      <c r="C23" s="94"/>
      <c r="D23" s="95"/>
      <c r="E23" s="75"/>
      <c r="F23" s="93">
        <f>'Cash journal   '!G116</f>
        <v>893324</v>
      </c>
    </row>
    <row r="24" spans="2:7">
      <c r="B24" s="75" t="s">
        <v>61</v>
      </c>
      <c r="C24" s="94"/>
      <c r="D24" s="95"/>
      <c r="E24" s="75"/>
      <c r="F24" s="91">
        <f>+F22-F23</f>
        <v>1</v>
      </c>
    </row>
    <row r="26" spans="2:7">
      <c r="B26" t="s">
        <v>171</v>
      </c>
    </row>
    <row r="28" spans="2:7">
      <c r="B28" t="s">
        <v>64</v>
      </c>
      <c r="F28" t="s">
        <v>65</v>
      </c>
    </row>
    <row r="31" spans="2:7">
      <c r="B31" s="89" t="s">
        <v>181</v>
      </c>
      <c r="C31" s="145"/>
      <c r="D31" s="146"/>
      <c r="E31" s="144"/>
      <c r="F31" s="147" t="s">
        <v>165</v>
      </c>
      <c r="G31" s="144"/>
    </row>
  </sheetData>
  <pageMargins left="0.7" right="0.7" top="0.78740157499999996" bottom="0.78740157499999996" header="0.3" footer="0.3"/>
  <pageSetup paperSize="9" orientation="portrait" horizontalDpi="360" verticalDpi="36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 filterMode="1"/>
  <dimension ref="A1:O929"/>
  <sheetViews>
    <sheetView workbookViewId="0">
      <pane ySplit="1" topLeftCell="A2" activePane="bottomLeft" state="frozen"/>
      <selection pane="bottomLeft" activeCell="B197" sqref="B197"/>
    </sheetView>
  </sheetViews>
  <sheetFormatPr baseColWidth="10" defaultColWidth="9.09765625" defaultRowHeight="14.4"/>
  <cols>
    <col min="1" max="1" width="13.8984375" style="229" customWidth="1"/>
    <col min="2" max="2" width="47" style="229" customWidth="1"/>
    <col min="3" max="5" width="13.8984375" style="229" customWidth="1"/>
    <col min="6" max="6" width="13.8984375" style="383" customWidth="1"/>
    <col min="7" max="10" width="13.8984375" style="229" customWidth="1"/>
    <col min="11" max="11" width="12.09765625" style="229" customWidth="1"/>
    <col min="12" max="15" width="13.8984375" style="229" customWidth="1"/>
    <col min="16" max="16384" width="9.09765625" style="229"/>
  </cols>
  <sheetData>
    <row r="1" spans="1:15">
      <c r="A1" s="228" t="s">
        <v>0</v>
      </c>
      <c r="B1" s="1" t="s">
        <v>1</v>
      </c>
      <c r="C1" s="1" t="s">
        <v>2</v>
      </c>
      <c r="D1" s="1" t="s">
        <v>3</v>
      </c>
      <c r="E1" s="70" t="s">
        <v>109</v>
      </c>
      <c r="F1" s="380" t="s">
        <v>4</v>
      </c>
      <c r="G1" s="2" t="s">
        <v>5</v>
      </c>
      <c r="H1" s="3" t="s">
        <v>10</v>
      </c>
      <c r="I1" s="3" t="s">
        <v>6</v>
      </c>
      <c r="J1" s="3" t="s">
        <v>7</v>
      </c>
      <c r="K1" s="4" t="s">
        <v>8</v>
      </c>
      <c r="L1" s="3" t="s">
        <v>9</v>
      </c>
      <c r="M1" s="70" t="s">
        <v>108</v>
      </c>
      <c r="N1" s="70" t="s">
        <v>163</v>
      </c>
      <c r="O1" s="3" t="s">
        <v>69</v>
      </c>
    </row>
    <row r="2" spans="1:15" ht="15.6" hidden="1">
      <c r="A2" s="268">
        <v>46027</v>
      </c>
      <c r="B2" s="265" t="s">
        <v>186</v>
      </c>
      <c r="C2" s="265" t="s">
        <v>121</v>
      </c>
      <c r="D2" s="266" t="s">
        <v>99</v>
      </c>
      <c r="E2" s="265">
        <v>1000</v>
      </c>
      <c r="F2" s="381">
        <f t="shared" ref="F2:F65" si="0">E2/G2</f>
        <v>1.9254803020356539</v>
      </c>
      <c r="G2" s="239">
        <v>519.35093749999999</v>
      </c>
      <c r="H2" s="267" t="s">
        <v>111</v>
      </c>
      <c r="I2" s="265" t="s">
        <v>133</v>
      </c>
      <c r="J2" s="170" t="s">
        <v>96</v>
      </c>
      <c r="K2" s="170" t="s">
        <v>344</v>
      </c>
      <c r="L2" s="170" t="s">
        <v>113</v>
      </c>
    </row>
    <row r="3" spans="1:15" ht="15.6" hidden="1">
      <c r="A3" s="268">
        <v>46027</v>
      </c>
      <c r="B3" s="265" t="s">
        <v>193</v>
      </c>
      <c r="C3" s="265" t="s">
        <v>121</v>
      </c>
      <c r="D3" s="266" t="s">
        <v>99</v>
      </c>
      <c r="E3" s="265">
        <v>1000</v>
      </c>
      <c r="F3" s="381">
        <f t="shared" si="0"/>
        <v>1.9254803020356539</v>
      </c>
      <c r="G3" s="239">
        <v>519.35093749999999</v>
      </c>
      <c r="H3" s="267" t="s">
        <v>111</v>
      </c>
      <c r="I3" s="265" t="s">
        <v>133</v>
      </c>
      <c r="J3" s="170" t="s">
        <v>96</v>
      </c>
      <c r="K3" s="170" t="s">
        <v>344</v>
      </c>
      <c r="L3" s="170" t="s">
        <v>113</v>
      </c>
    </row>
    <row r="4" spans="1:15" ht="15.6" hidden="1">
      <c r="A4" s="268">
        <v>46027</v>
      </c>
      <c r="B4" s="265" t="s">
        <v>202</v>
      </c>
      <c r="C4" s="265" t="s">
        <v>121</v>
      </c>
      <c r="D4" s="266" t="s">
        <v>99</v>
      </c>
      <c r="E4" s="265">
        <v>1000</v>
      </c>
      <c r="F4" s="381">
        <f t="shared" si="0"/>
        <v>1.9254803020356539</v>
      </c>
      <c r="G4" s="239">
        <v>519.35093749999999</v>
      </c>
      <c r="H4" s="267" t="s">
        <v>111</v>
      </c>
      <c r="I4" s="265" t="s">
        <v>133</v>
      </c>
      <c r="J4" s="170" t="s">
        <v>96</v>
      </c>
      <c r="K4" s="170" t="s">
        <v>344</v>
      </c>
      <c r="L4" s="170" t="s">
        <v>113</v>
      </c>
    </row>
    <row r="5" spans="1:15" ht="15.6" hidden="1">
      <c r="A5" s="264">
        <v>46027</v>
      </c>
      <c r="B5" s="172" t="s">
        <v>217</v>
      </c>
      <c r="C5" s="124" t="s">
        <v>121</v>
      </c>
      <c r="D5" s="124" t="s">
        <v>98</v>
      </c>
      <c r="E5" s="207">
        <v>1000</v>
      </c>
      <c r="F5" s="381">
        <f t="shared" si="0"/>
        <v>1.9254803020356539</v>
      </c>
      <c r="G5" s="239">
        <v>519.35093749999999</v>
      </c>
      <c r="H5" s="124" t="s">
        <v>168</v>
      </c>
      <c r="I5" s="124" t="s">
        <v>184</v>
      </c>
      <c r="J5" s="170" t="s">
        <v>96</v>
      </c>
      <c r="K5" s="170" t="s">
        <v>344</v>
      </c>
      <c r="L5" s="170" t="s">
        <v>113</v>
      </c>
    </row>
    <row r="6" spans="1:15" ht="15.6" hidden="1">
      <c r="A6" s="264">
        <v>46027</v>
      </c>
      <c r="B6" s="211" t="s">
        <v>197</v>
      </c>
      <c r="C6" s="75" t="s">
        <v>121</v>
      </c>
      <c r="D6" s="75" t="s">
        <v>98</v>
      </c>
      <c r="E6" s="210">
        <v>1000</v>
      </c>
      <c r="F6" s="381">
        <f t="shared" si="0"/>
        <v>1.9254803020356539</v>
      </c>
      <c r="G6" s="239">
        <v>519.35093749999999</v>
      </c>
      <c r="H6" s="75" t="s">
        <v>168</v>
      </c>
      <c r="I6" s="75" t="s">
        <v>184</v>
      </c>
      <c r="J6" s="170" t="s">
        <v>96</v>
      </c>
      <c r="K6" s="170" t="s">
        <v>344</v>
      </c>
      <c r="L6" s="170" t="s">
        <v>113</v>
      </c>
    </row>
    <row r="7" spans="1:15" ht="15.6" hidden="1">
      <c r="A7" s="264">
        <v>46027</v>
      </c>
      <c r="B7" s="211" t="s">
        <v>218</v>
      </c>
      <c r="C7" s="75" t="s">
        <v>121</v>
      </c>
      <c r="D7" s="75" t="s">
        <v>98</v>
      </c>
      <c r="E7" s="210">
        <v>1000</v>
      </c>
      <c r="F7" s="381">
        <f t="shared" si="0"/>
        <v>1.9254803020356539</v>
      </c>
      <c r="G7" s="239">
        <v>519.35093749999999</v>
      </c>
      <c r="H7" s="75" t="s">
        <v>168</v>
      </c>
      <c r="I7" s="75" t="s">
        <v>184</v>
      </c>
      <c r="J7" s="170" t="s">
        <v>96</v>
      </c>
      <c r="K7" s="170" t="s">
        <v>344</v>
      </c>
      <c r="L7" s="170" t="s">
        <v>113</v>
      </c>
    </row>
    <row r="8" spans="1:15" ht="15.6" hidden="1">
      <c r="A8" s="264">
        <v>46027</v>
      </c>
      <c r="B8" s="75" t="s">
        <v>219</v>
      </c>
      <c r="C8" s="124" t="s">
        <v>130</v>
      </c>
      <c r="D8" s="75" t="s">
        <v>98</v>
      </c>
      <c r="E8" s="207">
        <v>40000</v>
      </c>
      <c r="F8" s="381">
        <f t="shared" si="0"/>
        <v>77.019212081426161</v>
      </c>
      <c r="G8" s="239">
        <v>519.35093749999999</v>
      </c>
      <c r="H8" s="90" t="s">
        <v>168</v>
      </c>
      <c r="I8" s="124" t="s">
        <v>115</v>
      </c>
      <c r="J8" s="170" t="s">
        <v>96</v>
      </c>
      <c r="K8" s="170" t="s">
        <v>344</v>
      </c>
      <c r="L8" s="170" t="s">
        <v>113</v>
      </c>
    </row>
    <row r="9" spans="1:15" ht="15.6" hidden="1">
      <c r="A9" s="264">
        <v>46027</v>
      </c>
      <c r="B9" s="75" t="s">
        <v>220</v>
      </c>
      <c r="C9" s="75" t="s">
        <v>130</v>
      </c>
      <c r="D9" s="75" t="s">
        <v>98</v>
      </c>
      <c r="E9" s="207">
        <v>80000</v>
      </c>
      <c r="F9" s="381">
        <f t="shared" si="0"/>
        <v>154.03842416285232</v>
      </c>
      <c r="G9" s="239">
        <v>519.35093749999999</v>
      </c>
      <c r="H9" s="444" t="s">
        <v>168</v>
      </c>
      <c r="I9" s="124" t="s">
        <v>116</v>
      </c>
      <c r="J9" s="170" t="s">
        <v>96</v>
      </c>
      <c r="K9" s="170" t="s">
        <v>344</v>
      </c>
      <c r="L9" s="170" t="s">
        <v>113</v>
      </c>
    </row>
    <row r="10" spans="1:15" ht="15.6" hidden="1">
      <c r="A10" s="264">
        <v>46027</v>
      </c>
      <c r="B10" s="211" t="s">
        <v>197</v>
      </c>
      <c r="C10" s="75" t="s">
        <v>121</v>
      </c>
      <c r="D10" s="75" t="s">
        <v>98</v>
      </c>
      <c r="E10" s="210">
        <v>1000</v>
      </c>
      <c r="F10" s="381">
        <f t="shared" si="0"/>
        <v>1.9254803020356539</v>
      </c>
      <c r="G10" s="239">
        <v>519.35093749999999</v>
      </c>
      <c r="H10" s="75" t="s">
        <v>168</v>
      </c>
      <c r="I10" s="75" t="s">
        <v>184</v>
      </c>
      <c r="J10" s="170" t="s">
        <v>96</v>
      </c>
      <c r="K10" s="170" t="s">
        <v>344</v>
      </c>
      <c r="L10" s="170" t="s">
        <v>113</v>
      </c>
    </row>
    <row r="11" spans="1:15" ht="15.6" hidden="1">
      <c r="A11" s="264">
        <v>46027</v>
      </c>
      <c r="B11" s="243" t="s">
        <v>237</v>
      </c>
      <c r="C11" s="248" t="s">
        <v>104</v>
      </c>
      <c r="D11" s="249" t="s">
        <v>99</v>
      </c>
      <c r="E11" s="245">
        <v>1311000</v>
      </c>
      <c r="F11" s="381">
        <f t="shared" si="0"/>
        <v>2460.9613713023914</v>
      </c>
      <c r="G11" s="481">
        <v>532.71864210781655</v>
      </c>
      <c r="H11" s="124" t="s">
        <v>107</v>
      </c>
      <c r="I11" s="124" t="s">
        <v>105</v>
      </c>
      <c r="J11" s="170" t="s">
        <v>96</v>
      </c>
      <c r="K11" s="170" t="s">
        <v>185</v>
      </c>
      <c r="L11" s="170" t="s">
        <v>113</v>
      </c>
    </row>
    <row r="12" spans="1:15" ht="15.6" hidden="1">
      <c r="A12" s="264">
        <v>46027</v>
      </c>
      <c r="B12" s="300" t="s">
        <v>238</v>
      </c>
      <c r="C12" s="242" t="s">
        <v>104</v>
      </c>
      <c r="D12" s="242" t="s">
        <v>98</v>
      </c>
      <c r="E12" s="298">
        <v>258800</v>
      </c>
      <c r="F12" s="381">
        <f t="shared" si="0"/>
        <v>498.31430216682725</v>
      </c>
      <c r="G12" s="239">
        <v>519.35093749999999</v>
      </c>
      <c r="H12" s="75" t="s">
        <v>107</v>
      </c>
      <c r="I12" s="75" t="s">
        <v>106</v>
      </c>
      <c r="J12" s="170" t="s">
        <v>96</v>
      </c>
      <c r="K12" s="170" t="s">
        <v>344</v>
      </c>
      <c r="L12" s="170" t="s">
        <v>113</v>
      </c>
    </row>
    <row r="13" spans="1:15" ht="15.6" hidden="1">
      <c r="A13" s="268">
        <v>46029</v>
      </c>
      <c r="B13" s="265" t="s">
        <v>186</v>
      </c>
      <c r="C13" s="265" t="s">
        <v>121</v>
      </c>
      <c r="D13" s="266" t="s">
        <v>99</v>
      </c>
      <c r="E13" s="265">
        <v>1000</v>
      </c>
      <c r="F13" s="381">
        <f t="shared" si="0"/>
        <v>1.9254803020356539</v>
      </c>
      <c r="G13" s="239">
        <v>519.35093749999999</v>
      </c>
      <c r="H13" s="267" t="s">
        <v>111</v>
      </c>
      <c r="I13" s="265" t="s">
        <v>133</v>
      </c>
      <c r="J13" s="170" t="s">
        <v>96</v>
      </c>
      <c r="K13" s="170" t="s">
        <v>344</v>
      </c>
      <c r="L13" s="170" t="s">
        <v>113</v>
      </c>
    </row>
    <row r="14" spans="1:15" ht="15.6" hidden="1">
      <c r="A14" s="268">
        <v>46029</v>
      </c>
      <c r="B14" s="265" t="s">
        <v>186</v>
      </c>
      <c r="C14" s="265" t="s">
        <v>121</v>
      </c>
      <c r="D14" s="266" t="s">
        <v>99</v>
      </c>
      <c r="E14" s="265">
        <v>1000</v>
      </c>
      <c r="F14" s="381">
        <f t="shared" si="0"/>
        <v>1.9254803020356539</v>
      </c>
      <c r="G14" s="239">
        <v>519.35093749999999</v>
      </c>
      <c r="H14" s="267" t="s">
        <v>111</v>
      </c>
      <c r="I14" s="265" t="s">
        <v>133</v>
      </c>
      <c r="J14" s="170" t="s">
        <v>96</v>
      </c>
      <c r="K14" s="170" t="s">
        <v>344</v>
      </c>
      <c r="L14" s="170" t="s">
        <v>113</v>
      </c>
    </row>
    <row r="15" spans="1:15" ht="15.6" hidden="1">
      <c r="A15" s="264">
        <v>46029</v>
      </c>
      <c r="B15" s="211" t="s">
        <v>221</v>
      </c>
      <c r="C15" s="75" t="s">
        <v>121</v>
      </c>
      <c r="D15" s="75" t="s">
        <v>98</v>
      </c>
      <c r="E15" s="210">
        <v>1000</v>
      </c>
      <c r="F15" s="381">
        <f t="shared" si="0"/>
        <v>1.9254803020356539</v>
      </c>
      <c r="G15" s="239">
        <v>519.35093749999999</v>
      </c>
      <c r="H15" s="75" t="s">
        <v>168</v>
      </c>
      <c r="I15" s="75" t="s">
        <v>184</v>
      </c>
      <c r="J15" s="170" t="s">
        <v>96</v>
      </c>
      <c r="K15" s="170" t="s">
        <v>344</v>
      </c>
      <c r="L15" s="170" t="s">
        <v>113</v>
      </c>
    </row>
    <row r="16" spans="1:15" ht="15.6" hidden="1">
      <c r="A16" s="264">
        <v>46029</v>
      </c>
      <c r="B16" s="211" t="s">
        <v>222</v>
      </c>
      <c r="C16" s="75" t="s">
        <v>121</v>
      </c>
      <c r="D16" s="75" t="s">
        <v>98</v>
      </c>
      <c r="E16" s="210">
        <v>1000</v>
      </c>
      <c r="F16" s="381">
        <f t="shared" si="0"/>
        <v>1.9254803020356539</v>
      </c>
      <c r="G16" s="239">
        <v>519.35093749999999</v>
      </c>
      <c r="H16" s="75" t="s">
        <v>168</v>
      </c>
      <c r="I16" s="75" t="s">
        <v>184</v>
      </c>
      <c r="J16" s="170" t="s">
        <v>96</v>
      </c>
      <c r="K16" s="170" t="s">
        <v>344</v>
      </c>
      <c r="L16" s="170" t="s">
        <v>113</v>
      </c>
    </row>
    <row r="17" spans="1:12" ht="15.6" hidden="1">
      <c r="A17" s="264">
        <v>46029</v>
      </c>
      <c r="B17" s="75" t="s">
        <v>223</v>
      </c>
      <c r="C17" s="75" t="s">
        <v>121</v>
      </c>
      <c r="D17" s="75" t="s">
        <v>98</v>
      </c>
      <c r="E17" s="210">
        <v>1000</v>
      </c>
      <c r="F17" s="381">
        <f t="shared" si="0"/>
        <v>1.9254803020356539</v>
      </c>
      <c r="G17" s="239">
        <v>519.35093749999999</v>
      </c>
      <c r="H17" s="75" t="s">
        <v>168</v>
      </c>
      <c r="I17" s="75" t="s">
        <v>184</v>
      </c>
      <c r="J17" s="170" t="s">
        <v>96</v>
      </c>
      <c r="K17" s="170" t="s">
        <v>344</v>
      </c>
      <c r="L17" s="170" t="s">
        <v>113</v>
      </c>
    </row>
    <row r="18" spans="1:12" ht="15.6" hidden="1">
      <c r="A18" s="264">
        <v>46029</v>
      </c>
      <c r="B18" s="75" t="s">
        <v>224</v>
      </c>
      <c r="C18" s="75" t="s">
        <v>121</v>
      </c>
      <c r="D18" s="75" t="s">
        <v>98</v>
      </c>
      <c r="E18" s="210">
        <v>1000</v>
      </c>
      <c r="F18" s="381">
        <f t="shared" si="0"/>
        <v>1.9254803020356539</v>
      </c>
      <c r="G18" s="239">
        <v>519.35093749999999</v>
      </c>
      <c r="H18" s="75" t="s">
        <v>168</v>
      </c>
      <c r="I18" s="75" t="s">
        <v>184</v>
      </c>
      <c r="J18" s="170" t="s">
        <v>96</v>
      </c>
      <c r="K18" s="170" t="s">
        <v>344</v>
      </c>
      <c r="L18" s="170" t="s">
        <v>113</v>
      </c>
    </row>
    <row r="19" spans="1:12" ht="15.6" hidden="1">
      <c r="A19" s="264">
        <v>46029</v>
      </c>
      <c r="B19" s="75" t="s">
        <v>225</v>
      </c>
      <c r="C19" s="75" t="s">
        <v>121</v>
      </c>
      <c r="D19" s="75" t="s">
        <v>98</v>
      </c>
      <c r="E19" s="210">
        <v>1000</v>
      </c>
      <c r="F19" s="381">
        <f t="shared" si="0"/>
        <v>1.9254803020356539</v>
      </c>
      <c r="G19" s="239">
        <v>519.35093749999999</v>
      </c>
      <c r="H19" s="75" t="s">
        <v>168</v>
      </c>
      <c r="I19" s="75" t="s">
        <v>184</v>
      </c>
      <c r="J19" s="170" t="s">
        <v>96</v>
      </c>
      <c r="K19" s="170" t="s">
        <v>344</v>
      </c>
      <c r="L19" s="170" t="s">
        <v>113</v>
      </c>
    </row>
    <row r="20" spans="1:12" ht="15.6" hidden="1">
      <c r="A20" s="268">
        <v>46030</v>
      </c>
      <c r="B20" s="265" t="s">
        <v>186</v>
      </c>
      <c r="C20" s="265" t="s">
        <v>121</v>
      </c>
      <c r="D20" s="266" t="s">
        <v>99</v>
      </c>
      <c r="E20" s="265">
        <v>1000</v>
      </c>
      <c r="F20" s="381">
        <f t="shared" si="0"/>
        <v>1.9254803020356539</v>
      </c>
      <c r="G20" s="239">
        <v>519.35093749999999</v>
      </c>
      <c r="H20" s="267" t="s">
        <v>111</v>
      </c>
      <c r="I20" s="265" t="s">
        <v>133</v>
      </c>
      <c r="J20" s="170" t="s">
        <v>96</v>
      </c>
      <c r="K20" s="170" t="s">
        <v>344</v>
      </c>
      <c r="L20" s="170" t="s">
        <v>113</v>
      </c>
    </row>
    <row r="21" spans="1:12" ht="15.6" hidden="1">
      <c r="A21" s="268">
        <v>46030</v>
      </c>
      <c r="B21" s="265" t="s">
        <v>203</v>
      </c>
      <c r="C21" s="265" t="s">
        <v>121</v>
      </c>
      <c r="D21" s="266" t="s">
        <v>99</v>
      </c>
      <c r="E21" s="265">
        <v>1000</v>
      </c>
      <c r="F21" s="381">
        <f t="shared" si="0"/>
        <v>1.9254803020356539</v>
      </c>
      <c r="G21" s="239">
        <v>519.35093749999999</v>
      </c>
      <c r="H21" s="267" t="s">
        <v>111</v>
      </c>
      <c r="I21" s="265" t="s">
        <v>133</v>
      </c>
      <c r="J21" s="170" t="s">
        <v>96</v>
      </c>
      <c r="K21" s="170" t="s">
        <v>344</v>
      </c>
      <c r="L21" s="170" t="s">
        <v>113</v>
      </c>
    </row>
    <row r="22" spans="1:12" ht="15.6" hidden="1">
      <c r="A22" s="268">
        <v>46030</v>
      </c>
      <c r="B22" s="265" t="s">
        <v>204</v>
      </c>
      <c r="C22" s="265" t="s">
        <v>121</v>
      </c>
      <c r="D22" s="266" t="s">
        <v>99</v>
      </c>
      <c r="E22" s="265">
        <v>1000</v>
      </c>
      <c r="F22" s="381">
        <f t="shared" si="0"/>
        <v>1.9254803020356539</v>
      </c>
      <c r="G22" s="239">
        <v>519.35093749999999</v>
      </c>
      <c r="H22" s="267" t="s">
        <v>111</v>
      </c>
      <c r="I22" s="265" t="s">
        <v>133</v>
      </c>
      <c r="J22" s="170" t="s">
        <v>96</v>
      </c>
      <c r="K22" s="170" t="s">
        <v>344</v>
      </c>
      <c r="L22" s="170" t="s">
        <v>113</v>
      </c>
    </row>
    <row r="23" spans="1:12" ht="15.6" hidden="1">
      <c r="A23" s="268">
        <v>46030</v>
      </c>
      <c r="B23" s="265" t="s">
        <v>187</v>
      </c>
      <c r="C23" s="265" t="s">
        <v>121</v>
      </c>
      <c r="D23" s="266" t="s">
        <v>99</v>
      </c>
      <c r="E23" s="265">
        <v>1000</v>
      </c>
      <c r="F23" s="381">
        <f t="shared" si="0"/>
        <v>1.9254803020356539</v>
      </c>
      <c r="G23" s="239">
        <v>519.35093749999999</v>
      </c>
      <c r="H23" s="267" t="s">
        <v>111</v>
      </c>
      <c r="I23" s="265" t="s">
        <v>133</v>
      </c>
      <c r="J23" s="170" t="s">
        <v>96</v>
      </c>
      <c r="K23" s="170" t="s">
        <v>344</v>
      </c>
      <c r="L23" s="170" t="s">
        <v>113</v>
      </c>
    </row>
    <row r="24" spans="1:12" ht="15.6" hidden="1">
      <c r="A24" s="268">
        <v>46031</v>
      </c>
      <c r="B24" s="265" t="s">
        <v>186</v>
      </c>
      <c r="C24" s="265" t="s">
        <v>121</v>
      </c>
      <c r="D24" s="266" t="s">
        <v>99</v>
      </c>
      <c r="E24" s="265">
        <v>1000</v>
      </c>
      <c r="F24" s="381">
        <f t="shared" si="0"/>
        <v>1.9254803020356539</v>
      </c>
      <c r="G24" s="239">
        <v>519.35093749999999</v>
      </c>
      <c r="H24" s="267" t="s">
        <v>111</v>
      </c>
      <c r="I24" s="265" t="s">
        <v>133</v>
      </c>
      <c r="J24" s="170" t="s">
        <v>96</v>
      </c>
      <c r="K24" s="170" t="s">
        <v>344</v>
      </c>
      <c r="L24" s="170" t="s">
        <v>113</v>
      </c>
    </row>
    <row r="25" spans="1:12" ht="15.6" hidden="1">
      <c r="A25" s="268">
        <v>46031</v>
      </c>
      <c r="B25" s="231" t="s">
        <v>215</v>
      </c>
      <c r="C25" s="232" t="s">
        <v>110</v>
      </c>
      <c r="D25" s="233" t="s">
        <v>99</v>
      </c>
      <c r="E25" s="265">
        <v>10000</v>
      </c>
      <c r="F25" s="381">
        <f t="shared" si="0"/>
        <v>19.25480302035654</v>
      </c>
      <c r="G25" s="239">
        <v>519.35093749999999</v>
      </c>
      <c r="H25" s="267" t="s">
        <v>111</v>
      </c>
      <c r="I25" s="265" t="s">
        <v>112</v>
      </c>
      <c r="J25" s="170" t="s">
        <v>96</v>
      </c>
      <c r="K25" s="170" t="s">
        <v>344</v>
      </c>
      <c r="L25" s="170" t="s">
        <v>113</v>
      </c>
    </row>
    <row r="26" spans="1:12" ht="15.6" hidden="1">
      <c r="A26" s="264">
        <v>46031</v>
      </c>
      <c r="B26" s="211" t="s">
        <v>226</v>
      </c>
      <c r="C26" s="253" t="s">
        <v>121</v>
      </c>
      <c r="D26" s="253" t="s">
        <v>98</v>
      </c>
      <c r="E26" s="344">
        <v>1000</v>
      </c>
      <c r="F26" s="381">
        <f t="shared" si="0"/>
        <v>1.9254803020356539</v>
      </c>
      <c r="G26" s="239">
        <v>519.35093749999999</v>
      </c>
      <c r="H26" s="253" t="s">
        <v>168</v>
      </c>
      <c r="I26" s="253" t="s">
        <v>184</v>
      </c>
      <c r="J26" s="170" t="s">
        <v>96</v>
      </c>
      <c r="K26" s="170" t="s">
        <v>344</v>
      </c>
      <c r="L26" s="170" t="s">
        <v>113</v>
      </c>
    </row>
    <row r="27" spans="1:12" ht="15.6" hidden="1">
      <c r="A27" s="264">
        <v>46031</v>
      </c>
      <c r="B27" s="211" t="s">
        <v>201</v>
      </c>
      <c r="C27" s="253" t="s">
        <v>121</v>
      </c>
      <c r="D27" s="253" t="s">
        <v>98</v>
      </c>
      <c r="E27" s="344">
        <v>1000</v>
      </c>
      <c r="F27" s="381">
        <f t="shared" si="0"/>
        <v>1.9254803020356539</v>
      </c>
      <c r="G27" s="239">
        <v>519.35093749999999</v>
      </c>
      <c r="H27" s="253" t="s">
        <v>168</v>
      </c>
      <c r="I27" s="253" t="s">
        <v>184</v>
      </c>
      <c r="J27" s="170" t="s">
        <v>96</v>
      </c>
      <c r="K27" s="170" t="s">
        <v>344</v>
      </c>
      <c r="L27" s="170" t="s">
        <v>113</v>
      </c>
    </row>
    <row r="28" spans="1:12" ht="15.6" hidden="1">
      <c r="A28" s="268">
        <v>46034</v>
      </c>
      <c r="B28" s="265" t="s">
        <v>186</v>
      </c>
      <c r="C28" s="265" t="s">
        <v>121</v>
      </c>
      <c r="D28" s="266" t="s">
        <v>99</v>
      </c>
      <c r="E28" s="265">
        <v>1000</v>
      </c>
      <c r="F28" s="381">
        <f t="shared" si="0"/>
        <v>1.9254803020356539</v>
      </c>
      <c r="G28" s="239">
        <v>519.35093749999999</v>
      </c>
      <c r="H28" s="267" t="s">
        <v>111</v>
      </c>
      <c r="I28" s="265" t="s">
        <v>133</v>
      </c>
      <c r="J28" s="170" t="s">
        <v>96</v>
      </c>
      <c r="K28" s="170" t="s">
        <v>344</v>
      </c>
      <c r="L28" s="170" t="s">
        <v>113</v>
      </c>
    </row>
    <row r="29" spans="1:12" ht="15.6" hidden="1">
      <c r="A29" s="268">
        <v>46034</v>
      </c>
      <c r="B29" s="265" t="s">
        <v>189</v>
      </c>
      <c r="C29" s="265" t="s">
        <v>121</v>
      </c>
      <c r="D29" s="266" t="s">
        <v>99</v>
      </c>
      <c r="E29" s="265">
        <v>1000</v>
      </c>
      <c r="F29" s="381">
        <f t="shared" si="0"/>
        <v>1.9254803020356539</v>
      </c>
      <c r="G29" s="239">
        <v>519.35093749999999</v>
      </c>
      <c r="H29" s="267" t="s">
        <v>111</v>
      </c>
      <c r="I29" s="265" t="s">
        <v>133</v>
      </c>
      <c r="J29" s="170" t="s">
        <v>96</v>
      </c>
      <c r="K29" s="170" t="s">
        <v>344</v>
      </c>
      <c r="L29" s="170" t="s">
        <v>113</v>
      </c>
    </row>
    <row r="30" spans="1:12" ht="15.6" hidden="1">
      <c r="A30" s="268">
        <v>46035</v>
      </c>
      <c r="B30" s="265" t="s">
        <v>186</v>
      </c>
      <c r="C30" s="265" t="s">
        <v>121</v>
      </c>
      <c r="D30" s="269" t="s">
        <v>99</v>
      </c>
      <c r="E30" s="265">
        <v>1000</v>
      </c>
      <c r="F30" s="382">
        <f t="shared" si="0"/>
        <v>1.9254803020356539</v>
      </c>
      <c r="G30" s="239">
        <v>519.35093749999999</v>
      </c>
      <c r="H30" s="270" t="s">
        <v>111</v>
      </c>
      <c r="I30" s="265" t="s">
        <v>133</v>
      </c>
      <c r="J30" s="271" t="s">
        <v>96</v>
      </c>
      <c r="K30" s="170" t="s">
        <v>344</v>
      </c>
      <c r="L30" s="271" t="s">
        <v>113</v>
      </c>
    </row>
    <row r="31" spans="1:12" ht="15.6" hidden="1">
      <c r="A31" s="268">
        <v>46035</v>
      </c>
      <c r="B31" s="265" t="s">
        <v>189</v>
      </c>
      <c r="C31" s="265" t="s">
        <v>121</v>
      </c>
      <c r="D31" s="269" t="s">
        <v>99</v>
      </c>
      <c r="E31" s="265">
        <v>1000</v>
      </c>
      <c r="F31" s="382">
        <f t="shared" si="0"/>
        <v>1.9254803020356539</v>
      </c>
      <c r="G31" s="239">
        <v>519.35093749999999</v>
      </c>
      <c r="H31" s="270" t="s">
        <v>111</v>
      </c>
      <c r="I31" s="265" t="s">
        <v>133</v>
      </c>
      <c r="J31" s="271" t="s">
        <v>96</v>
      </c>
      <c r="K31" s="170" t="s">
        <v>344</v>
      </c>
      <c r="L31" s="271" t="s">
        <v>113</v>
      </c>
    </row>
    <row r="32" spans="1:12" ht="15.6" hidden="1">
      <c r="A32" s="268">
        <v>46035</v>
      </c>
      <c r="B32" s="278" t="s">
        <v>227</v>
      </c>
      <c r="C32" s="278" t="s">
        <v>103</v>
      </c>
      <c r="D32" s="278" t="s">
        <v>98</v>
      </c>
      <c r="E32" s="277">
        <v>60967</v>
      </c>
      <c r="F32" s="382">
        <f t="shared" si="0"/>
        <v>117.39075757420771</v>
      </c>
      <c r="G32" s="239">
        <v>519.35093749999999</v>
      </c>
      <c r="H32" s="345" t="s">
        <v>168</v>
      </c>
      <c r="I32" s="271" t="s">
        <v>117</v>
      </c>
      <c r="J32" s="271" t="s">
        <v>96</v>
      </c>
      <c r="K32" s="170" t="s">
        <v>344</v>
      </c>
      <c r="L32" s="271" t="s">
        <v>113</v>
      </c>
    </row>
    <row r="33" spans="1:12" ht="15.6" hidden="1">
      <c r="A33" s="275">
        <v>46035</v>
      </c>
      <c r="B33" s="271" t="s">
        <v>228</v>
      </c>
      <c r="C33" s="271" t="s">
        <v>103</v>
      </c>
      <c r="D33" s="278" t="s">
        <v>98</v>
      </c>
      <c r="E33" s="277">
        <v>12750</v>
      </c>
      <c r="F33" s="382">
        <f t="shared" si="0"/>
        <v>24.549873850954587</v>
      </c>
      <c r="G33" s="239">
        <v>519.35093749999999</v>
      </c>
      <c r="H33" s="345" t="s">
        <v>168</v>
      </c>
      <c r="I33" s="271" t="s">
        <v>118</v>
      </c>
      <c r="J33" s="271" t="s">
        <v>96</v>
      </c>
      <c r="K33" s="170" t="s">
        <v>344</v>
      </c>
      <c r="L33" s="271" t="s">
        <v>113</v>
      </c>
    </row>
    <row r="34" spans="1:12" ht="15.6" hidden="1">
      <c r="A34" s="276">
        <v>46035</v>
      </c>
      <c r="B34" s="278" t="s">
        <v>196</v>
      </c>
      <c r="C34" s="278" t="s">
        <v>121</v>
      </c>
      <c r="D34" s="278" t="s">
        <v>98</v>
      </c>
      <c r="E34" s="279">
        <v>1000</v>
      </c>
      <c r="F34" s="382">
        <f t="shared" si="0"/>
        <v>1.9254803020356539</v>
      </c>
      <c r="G34" s="239">
        <v>519.35093749999999</v>
      </c>
      <c r="H34" s="278" t="s">
        <v>168</v>
      </c>
      <c r="I34" s="278" t="s">
        <v>184</v>
      </c>
      <c r="J34" s="271" t="s">
        <v>96</v>
      </c>
      <c r="K34" s="170" t="s">
        <v>344</v>
      </c>
      <c r="L34" s="271" t="s">
        <v>113</v>
      </c>
    </row>
    <row r="35" spans="1:12" ht="15.6" hidden="1">
      <c r="A35" s="276">
        <v>46035</v>
      </c>
      <c r="B35" s="278" t="s">
        <v>229</v>
      </c>
      <c r="C35" s="278" t="s">
        <v>121</v>
      </c>
      <c r="D35" s="278" t="s">
        <v>98</v>
      </c>
      <c r="E35" s="279">
        <v>1000</v>
      </c>
      <c r="F35" s="382">
        <f t="shared" si="0"/>
        <v>1.9254803020356539</v>
      </c>
      <c r="G35" s="239">
        <v>519.35093749999999</v>
      </c>
      <c r="H35" s="278" t="s">
        <v>168</v>
      </c>
      <c r="I35" s="278" t="s">
        <v>184</v>
      </c>
      <c r="J35" s="271" t="s">
        <v>96</v>
      </c>
      <c r="K35" s="170" t="s">
        <v>344</v>
      </c>
      <c r="L35" s="271" t="s">
        <v>113</v>
      </c>
    </row>
    <row r="36" spans="1:12" ht="15.6" hidden="1">
      <c r="A36" s="276">
        <v>46035</v>
      </c>
      <c r="B36" s="278" t="s">
        <v>230</v>
      </c>
      <c r="C36" s="278" t="s">
        <v>121</v>
      </c>
      <c r="D36" s="278" t="s">
        <v>98</v>
      </c>
      <c r="E36" s="279">
        <v>1000</v>
      </c>
      <c r="F36" s="382">
        <f t="shared" si="0"/>
        <v>1.9254803020356539</v>
      </c>
      <c r="G36" s="239">
        <v>519.35093749999999</v>
      </c>
      <c r="H36" s="278" t="s">
        <v>168</v>
      </c>
      <c r="I36" s="278" t="s">
        <v>184</v>
      </c>
      <c r="J36" s="271" t="s">
        <v>96</v>
      </c>
      <c r="K36" s="170" t="s">
        <v>344</v>
      </c>
      <c r="L36" s="271" t="s">
        <v>113</v>
      </c>
    </row>
    <row r="37" spans="1:12" ht="15.6" hidden="1">
      <c r="A37" s="276">
        <v>46035</v>
      </c>
      <c r="B37" s="278" t="s">
        <v>231</v>
      </c>
      <c r="C37" s="278" t="s">
        <v>121</v>
      </c>
      <c r="D37" s="278" t="s">
        <v>98</v>
      </c>
      <c r="E37" s="279">
        <v>1000</v>
      </c>
      <c r="F37" s="382">
        <f t="shared" si="0"/>
        <v>1.9254803020356539</v>
      </c>
      <c r="G37" s="239">
        <v>519.35093749999999</v>
      </c>
      <c r="H37" s="278" t="s">
        <v>168</v>
      </c>
      <c r="I37" s="278" t="s">
        <v>184</v>
      </c>
      <c r="J37" s="271" t="s">
        <v>96</v>
      </c>
      <c r="K37" s="170" t="s">
        <v>344</v>
      </c>
      <c r="L37" s="271" t="s">
        <v>113</v>
      </c>
    </row>
    <row r="38" spans="1:12" ht="15.6" hidden="1">
      <c r="A38" s="268">
        <v>46036</v>
      </c>
      <c r="B38" s="265" t="s">
        <v>186</v>
      </c>
      <c r="C38" s="265" t="s">
        <v>121</v>
      </c>
      <c r="D38" s="269" t="s">
        <v>99</v>
      </c>
      <c r="E38" s="265">
        <v>1000</v>
      </c>
      <c r="F38" s="382">
        <f t="shared" si="0"/>
        <v>1.9254803020356539</v>
      </c>
      <c r="G38" s="239">
        <v>519.35093749999999</v>
      </c>
      <c r="H38" s="270" t="s">
        <v>111</v>
      </c>
      <c r="I38" s="265" t="s">
        <v>133</v>
      </c>
      <c r="J38" s="271" t="s">
        <v>96</v>
      </c>
      <c r="K38" s="170" t="s">
        <v>344</v>
      </c>
      <c r="L38" s="271" t="s">
        <v>113</v>
      </c>
    </row>
    <row r="39" spans="1:12" ht="15.6" hidden="1">
      <c r="A39" s="268">
        <v>46036</v>
      </c>
      <c r="B39" s="265" t="s">
        <v>187</v>
      </c>
      <c r="C39" s="265" t="s">
        <v>121</v>
      </c>
      <c r="D39" s="269" t="s">
        <v>99</v>
      </c>
      <c r="E39" s="265">
        <v>1000</v>
      </c>
      <c r="F39" s="382">
        <f t="shared" si="0"/>
        <v>1.9254803020356539</v>
      </c>
      <c r="G39" s="239">
        <v>519.35093749999999</v>
      </c>
      <c r="H39" s="270" t="s">
        <v>111</v>
      </c>
      <c r="I39" s="265" t="s">
        <v>133</v>
      </c>
      <c r="J39" s="271" t="s">
        <v>96</v>
      </c>
      <c r="K39" s="170" t="s">
        <v>344</v>
      </c>
      <c r="L39" s="271" t="s">
        <v>113</v>
      </c>
    </row>
    <row r="40" spans="1:12" ht="15.6" hidden="1">
      <c r="A40" s="276">
        <v>46036</v>
      </c>
      <c r="B40" s="278" t="s">
        <v>232</v>
      </c>
      <c r="C40" s="278" t="s">
        <v>121</v>
      </c>
      <c r="D40" s="278" t="s">
        <v>98</v>
      </c>
      <c r="E40" s="279">
        <v>1000</v>
      </c>
      <c r="F40" s="382">
        <f t="shared" si="0"/>
        <v>1.9254803020356539</v>
      </c>
      <c r="G40" s="239">
        <v>519.35093749999999</v>
      </c>
      <c r="H40" s="278" t="s">
        <v>168</v>
      </c>
      <c r="I40" s="278" t="s">
        <v>184</v>
      </c>
      <c r="J40" s="271" t="s">
        <v>96</v>
      </c>
      <c r="K40" s="170" t="s">
        <v>344</v>
      </c>
      <c r="L40" s="271" t="s">
        <v>113</v>
      </c>
    </row>
    <row r="41" spans="1:12" ht="15.6" hidden="1">
      <c r="A41" s="276">
        <v>46036</v>
      </c>
      <c r="B41" s="278" t="s">
        <v>233</v>
      </c>
      <c r="C41" s="278" t="s">
        <v>121</v>
      </c>
      <c r="D41" s="278" t="s">
        <v>98</v>
      </c>
      <c r="E41" s="279">
        <v>1000</v>
      </c>
      <c r="F41" s="382">
        <f t="shared" si="0"/>
        <v>1.9254803020356539</v>
      </c>
      <c r="G41" s="239">
        <v>519.35093749999999</v>
      </c>
      <c r="H41" s="278" t="s">
        <v>168</v>
      </c>
      <c r="I41" s="278" t="s">
        <v>184</v>
      </c>
      <c r="J41" s="271" t="s">
        <v>96</v>
      </c>
      <c r="K41" s="170" t="s">
        <v>344</v>
      </c>
      <c r="L41" s="271" t="s">
        <v>113</v>
      </c>
    </row>
    <row r="42" spans="1:12" ht="15.6" hidden="1">
      <c r="A42" s="276">
        <v>46036</v>
      </c>
      <c r="B42" s="278" t="s">
        <v>234</v>
      </c>
      <c r="C42" s="278" t="s">
        <v>121</v>
      </c>
      <c r="D42" s="278" t="s">
        <v>98</v>
      </c>
      <c r="E42" s="279">
        <v>1000</v>
      </c>
      <c r="F42" s="382">
        <f t="shared" si="0"/>
        <v>1.9254803020356539</v>
      </c>
      <c r="G42" s="239">
        <v>519.35093749999999</v>
      </c>
      <c r="H42" s="278" t="s">
        <v>168</v>
      </c>
      <c r="I42" s="278" t="s">
        <v>184</v>
      </c>
      <c r="J42" s="271" t="s">
        <v>96</v>
      </c>
      <c r="K42" s="170" t="s">
        <v>344</v>
      </c>
      <c r="L42" s="271" t="s">
        <v>113</v>
      </c>
    </row>
    <row r="43" spans="1:12" ht="15.6" hidden="1">
      <c r="A43" s="268">
        <v>46041</v>
      </c>
      <c r="B43" s="265" t="s">
        <v>186</v>
      </c>
      <c r="C43" s="265" t="s">
        <v>121</v>
      </c>
      <c r="D43" s="269" t="s">
        <v>99</v>
      </c>
      <c r="E43" s="265">
        <v>1000</v>
      </c>
      <c r="F43" s="382">
        <f t="shared" si="0"/>
        <v>1.9254803020356539</v>
      </c>
      <c r="G43" s="239">
        <v>519.35093749999999</v>
      </c>
      <c r="H43" s="270" t="s">
        <v>111</v>
      </c>
      <c r="I43" s="265" t="s">
        <v>133</v>
      </c>
      <c r="J43" s="271" t="s">
        <v>96</v>
      </c>
      <c r="K43" s="170" t="s">
        <v>344</v>
      </c>
      <c r="L43" s="271" t="s">
        <v>113</v>
      </c>
    </row>
    <row r="44" spans="1:12" ht="15.6" hidden="1">
      <c r="A44" s="268">
        <v>46041</v>
      </c>
      <c r="B44" s="265" t="s">
        <v>205</v>
      </c>
      <c r="C44" s="265" t="s">
        <v>121</v>
      </c>
      <c r="D44" s="269" t="s">
        <v>99</v>
      </c>
      <c r="E44" s="265">
        <v>1000</v>
      </c>
      <c r="F44" s="382">
        <f t="shared" si="0"/>
        <v>1.9254803020356539</v>
      </c>
      <c r="G44" s="239">
        <v>519.35093749999999</v>
      </c>
      <c r="H44" s="270" t="s">
        <v>111</v>
      </c>
      <c r="I44" s="265" t="s">
        <v>133</v>
      </c>
      <c r="J44" s="271" t="s">
        <v>96</v>
      </c>
      <c r="K44" s="170" t="s">
        <v>344</v>
      </c>
      <c r="L44" s="271" t="s">
        <v>113</v>
      </c>
    </row>
    <row r="45" spans="1:12" ht="15.6" hidden="1">
      <c r="A45" s="268">
        <v>46041</v>
      </c>
      <c r="B45" s="265" t="s">
        <v>206</v>
      </c>
      <c r="C45" s="265" t="s">
        <v>121</v>
      </c>
      <c r="D45" s="269" t="s">
        <v>99</v>
      </c>
      <c r="E45" s="265">
        <v>1000</v>
      </c>
      <c r="F45" s="382">
        <f t="shared" si="0"/>
        <v>1.9254803020356539</v>
      </c>
      <c r="G45" s="239">
        <v>519.35093749999999</v>
      </c>
      <c r="H45" s="270" t="s">
        <v>111</v>
      </c>
      <c r="I45" s="265" t="s">
        <v>133</v>
      </c>
      <c r="J45" s="271" t="s">
        <v>96</v>
      </c>
      <c r="K45" s="170" t="s">
        <v>344</v>
      </c>
      <c r="L45" s="271" t="s">
        <v>113</v>
      </c>
    </row>
    <row r="46" spans="1:12" ht="15.6" hidden="1">
      <c r="A46" s="268">
        <v>46042</v>
      </c>
      <c r="B46" s="265" t="s">
        <v>188</v>
      </c>
      <c r="C46" s="265" t="s">
        <v>121</v>
      </c>
      <c r="D46" s="269" t="s">
        <v>99</v>
      </c>
      <c r="E46" s="265">
        <v>1000</v>
      </c>
      <c r="F46" s="382">
        <f t="shared" si="0"/>
        <v>1.9254803020356539</v>
      </c>
      <c r="G46" s="239">
        <v>519.35093749999999</v>
      </c>
      <c r="H46" s="270" t="s">
        <v>111</v>
      </c>
      <c r="I46" s="265" t="s">
        <v>133</v>
      </c>
      <c r="J46" s="271" t="s">
        <v>96</v>
      </c>
      <c r="K46" s="170" t="s">
        <v>344</v>
      </c>
      <c r="L46" s="271" t="s">
        <v>113</v>
      </c>
    </row>
    <row r="47" spans="1:12" ht="15.6" hidden="1">
      <c r="A47" s="268">
        <v>46042</v>
      </c>
      <c r="B47" s="265" t="s">
        <v>192</v>
      </c>
      <c r="C47" s="265" t="s">
        <v>121</v>
      </c>
      <c r="D47" s="269" t="s">
        <v>99</v>
      </c>
      <c r="E47" s="265">
        <v>1000</v>
      </c>
      <c r="F47" s="382">
        <f t="shared" si="0"/>
        <v>1.9254803020356539</v>
      </c>
      <c r="G47" s="239">
        <v>519.35093749999999</v>
      </c>
      <c r="H47" s="270" t="s">
        <v>111</v>
      </c>
      <c r="I47" s="265" t="s">
        <v>133</v>
      </c>
      <c r="J47" s="271" t="s">
        <v>96</v>
      </c>
      <c r="K47" s="170" t="s">
        <v>344</v>
      </c>
      <c r="L47" s="271" t="s">
        <v>113</v>
      </c>
    </row>
    <row r="48" spans="1:12" ht="15.6" hidden="1">
      <c r="A48" s="268">
        <v>46043</v>
      </c>
      <c r="B48" s="265" t="s">
        <v>207</v>
      </c>
      <c r="C48" s="265" t="s">
        <v>121</v>
      </c>
      <c r="D48" s="269" t="s">
        <v>99</v>
      </c>
      <c r="E48" s="265">
        <v>1000</v>
      </c>
      <c r="F48" s="382">
        <f t="shared" si="0"/>
        <v>1.9254803020356539</v>
      </c>
      <c r="G48" s="239">
        <v>519.35093749999999</v>
      </c>
      <c r="H48" s="270" t="s">
        <v>111</v>
      </c>
      <c r="I48" s="265" t="s">
        <v>133</v>
      </c>
      <c r="J48" s="271" t="s">
        <v>96</v>
      </c>
      <c r="K48" s="170" t="s">
        <v>344</v>
      </c>
      <c r="L48" s="271" t="s">
        <v>113</v>
      </c>
    </row>
    <row r="49" spans="1:12" ht="15.6" hidden="1">
      <c r="A49" s="268">
        <v>46043</v>
      </c>
      <c r="B49" s="265" t="s">
        <v>208</v>
      </c>
      <c r="C49" s="265" t="s">
        <v>121</v>
      </c>
      <c r="D49" s="269" t="s">
        <v>99</v>
      </c>
      <c r="E49" s="265">
        <v>1000</v>
      </c>
      <c r="F49" s="382">
        <f t="shared" si="0"/>
        <v>1.9254803020356539</v>
      </c>
      <c r="G49" s="239">
        <v>519.35093749999999</v>
      </c>
      <c r="H49" s="270" t="s">
        <v>111</v>
      </c>
      <c r="I49" s="265" t="s">
        <v>133</v>
      </c>
      <c r="J49" s="271" t="s">
        <v>96</v>
      </c>
      <c r="K49" s="170" t="s">
        <v>344</v>
      </c>
      <c r="L49" s="271" t="s">
        <v>113</v>
      </c>
    </row>
    <row r="50" spans="1:12" ht="15.6" hidden="1">
      <c r="A50" s="275">
        <v>46043</v>
      </c>
      <c r="B50" s="278" t="s">
        <v>235</v>
      </c>
      <c r="C50" s="271" t="s">
        <v>120</v>
      </c>
      <c r="D50" s="278" t="s">
        <v>98</v>
      </c>
      <c r="E50" s="277">
        <v>10000</v>
      </c>
      <c r="F50" s="382">
        <f t="shared" si="0"/>
        <v>19.25480302035654</v>
      </c>
      <c r="G50" s="239">
        <v>519.35093749999999</v>
      </c>
      <c r="H50" s="278" t="s">
        <v>168</v>
      </c>
      <c r="I50" s="271" t="s">
        <v>119</v>
      </c>
      <c r="J50" s="271" t="s">
        <v>96</v>
      </c>
      <c r="K50" s="170" t="s">
        <v>344</v>
      </c>
      <c r="L50" s="271" t="s">
        <v>113</v>
      </c>
    </row>
    <row r="51" spans="1:12" ht="15.6" hidden="1">
      <c r="A51" s="268">
        <v>46044</v>
      </c>
      <c r="B51" s="265" t="s">
        <v>209</v>
      </c>
      <c r="C51" s="265" t="s">
        <v>121</v>
      </c>
      <c r="D51" s="269" t="s">
        <v>99</v>
      </c>
      <c r="E51" s="265">
        <v>1000</v>
      </c>
      <c r="F51" s="382">
        <f t="shared" si="0"/>
        <v>1.9254803020356539</v>
      </c>
      <c r="G51" s="239">
        <v>519.35093749999999</v>
      </c>
      <c r="H51" s="270" t="s">
        <v>111</v>
      </c>
      <c r="I51" s="265" t="s">
        <v>133</v>
      </c>
      <c r="J51" s="271" t="s">
        <v>96</v>
      </c>
      <c r="K51" s="170" t="s">
        <v>344</v>
      </c>
      <c r="L51" s="271" t="s">
        <v>113</v>
      </c>
    </row>
    <row r="52" spans="1:12" ht="15.6" hidden="1">
      <c r="A52" s="268">
        <v>46044</v>
      </c>
      <c r="B52" s="265" t="s">
        <v>187</v>
      </c>
      <c r="C52" s="265" t="s">
        <v>121</v>
      </c>
      <c r="D52" s="269" t="s">
        <v>99</v>
      </c>
      <c r="E52" s="265">
        <v>1000</v>
      </c>
      <c r="F52" s="382">
        <f t="shared" si="0"/>
        <v>1.9254803020356539</v>
      </c>
      <c r="G52" s="239">
        <v>519.35093749999999</v>
      </c>
      <c r="H52" s="270" t="s">
        <v>111</v>
      </c>
      <c r="I52" s="265" t="s">
        <v>133</v>
      </c>
      <c r="J52" s="271" t="s">
        <v>96</v>
      </c>
      <c r="K52" s="170" t="s">
        <v>344</v>
      </c>
      <c r="L52" s="271" t="s">
        <v>113</v>
      </c>
    </row>
    <row r="53" spans="1:12" ht="15.6" hidden="1">
      <c r="A53" s="268">
        <v>46044</v>
      </c>
      <c r="B53" s="274" t="s">
        <v>216</v>
      </c>
      <c r="C53" s="274" t="s">
        <v>110</v>
      </c>
      <c r="D53" s="274" t="s">
        <v>97</v>
      </c>
      <c r="E53" s="273">
        <v>5000</v>
      </c>
      <c r="F53" s="382">
        <f t="shared" si="0"/>
        <v>9.6274015101782702</v>
      </c>
      <c r="G53" s="239">
        <v>519.35093749999999</v>
      </c>
      <c r="H53" s="272" t="s">
        <v>128</v>
      </c>
      <c r="I53" s="273" t="s">
        <v>200</v>
      </c>
      <c r="J53" s="271" t="s">
        <v>96</v>
      </c>
      <c r="K53" s="170" t="s">
        <v>344</v>
      </c>
      <c r="L53" s="271" t="s">
        <v>113</v>
      </c>
    </row>
    <row r="54" spans="1:12" ht="15.6" hidden="1">
      <c r="A54" s="276">
        <v>46044</v>
      </c>
      <c r="B54" s="278" t="s">
        <v>236</v>
      </c>
      <c r="C54" s="278" t="s">
        <v>121</v>
      </c>
      <c r="D54" s="278" t="s">
        <v>98</v>
      </c>
      <c r="E54" s="279">
        <v>1000</v>
      </c>
      <c r="F54" s="382">
        <f t="shared" si="0"/>
        <v>1.9254803020356539</v>
      </c>
      <c r="G54" s="239">
        <v>519.35093749999999</v>
      </c>
      <c r="H54" s="278" t="s">
        <v>168</v>
      </c>
      <c r="I54" s="278" t="s">
        <v>184</v>
      </c>
      <c r="J54" s="271" t="s">
        <v>96</v>
      </c>
      <c r="K54" s="170" t="s">
        <v>344</v>
      </c>
      <c r="L54" s="271" t="s">
        <v>113</v>
      </c>
    </row>
    <row r="55" spans="1:12" ht="15.6" hidden="1">
      <c r="A55" s="276">
        <v>46044</v>
      </c>
      <c r="B55" s="278" t="s">
        <v>201</v>
      </c>
      <c r="C55" s="278" t="s">
        <v>121</v>
      </c>
      <c r="D55" s="278" t="s">
        <v>98</v>
      </c>
      <c r="E55" s="279">
        <v>1000</v>
      </c>
      <c r="F55" s="382">
        <f t="shared" si="0"/>
        <v>1.9254803020356539</v>
      </c>
      <c r="G55" s="239">
        <v>519.35093749999999</v>
      </c>
      <c r="H55" s="278" t="s">
        <v>168</v>
      </c>
      <c r="I55" s="278" t="s">
        <v>184</v>
      </c>
      <c r="J55" s="271" t="s">
        <v>96</v>
      </c>
      <c r="K55" s="170" t="s">
        <v>344</v>
      </c>
      <c r="L55" s="271" t="s">
        <v>113</v>
      </c>
    </row>
    <row r="56" spans="1:12" ht="15.6" hidden="1">
      <c r="A56" s="268">
        <v>46045</v>
      </c>
      <c r="B56" s="265" t="s">
        <v>186</v>
      </c>
      <c r="C56" s="342" t="s">
        <v>121</v>
      </c>
      <c r="D56" s="269" t="s">
        <v>99</v>
      </c>
      <c r="E56" s="265">
        <v>1000</v>
      </c>
      <c r="F56" s="382">
        <f t="shared" si="0"/>
        <v>1.9254803020356539</v>
      </c>
      <c r="G56" s="239">
        <v>519.35093749999999</v>
      </c>
      <c r="H56" s="270" t="s">
        <v>111</v>
      </c>
      <c r="I56" s="265" t="s">
        <v>133</v>
      </c>
      <c r="J56" s="271" t="s">
        <v>96</v>
      </c>
      <c r="K56" s="170" t="s">
        <v>344</v>
      </c>
      <c r="L56" s="271" t="s">
        <v>113</v>
      </c>
    </row>
    <row r="57" spans="1:12" ht="15.6" hidden="1">
      <c r="A57" s="268">
        <v>46045</v>
      </c>
      <c r="B57" s="265" t="s">
        <v>187</v>
      </c>
      <c r="C57" s="265" t="s">
        <v>121</v>
      </c>
      <c r="D57" s="269" t="s">
        <v>99</v>
      </c>
      <c r="E57" s="265">
        <v>1000</v>
      </c>
      <c r="F57" s="382">
        <f t="shared" si="0"/>
        <v>1.9254803020356539</v>
      </c>
      <c r="G57" s="239">
        <v>519.35093749999999</v>
      </c>
      <c r="H57" s="270" t="s">
        <v>111</v>
      </c>
      <c r="I57" s="265" t="s">
        <v>133</v>
      </c>
      <c r="J57" s="271" t="s">
        <v>96</v>
      </c>
      <c r="K57" s="170" t="s">
        <v>344</v>
      </c>
      <c r="L57" s="271" t="s">
        <v>113</v>
      </c>
    </row>
    <row r="58" spans="1:12" ht="15.6" hidden="1">
      <c r="A58" s="268">
        <v>46048</v>
      </c>
      <c r="B58" s="265" t="s">
        <v>210</v>
      </c>
      <c r="C58" s="265" t="s">
        <v>121</v>
      </c>
      <c r="D58" s="269" t="s">
        <v>99</v>
      </c>
      <c r="E58" s="265">
        <v>1000</v>
      </c>
      <c r="F58" s="382">
        <f t="shared" si="0"/>
        <v>1.9254803020356539</v>
      </c>
      <c r="G58" s="239">
        <v>519.35093749999999</v>
      </c>
      <c r="H58" s="270" t="s">
        <v>111</v>
      </c>
      <c r="I58" s="265" t="s">
        <v>133</v>
      </c>
      <c r="J58" s="271" t="s">
        <v>96</v>
      </c>
      <c r="K58" s="170" t="s">
        <v>344</v>
      </c>
      <c r="L58" s="271" t="s">
        <v>113</v>
      </c>
    </row>
    <row r="59" spans="1:12" ht="15.6" hidden="1">
      <c r="A59" s="268">
        <v>46048</v>
      </c>
      <c r="B59" s="265" t="s">
        <v>208</v>
      </c>
      <c r="C59" s="265" t="s">
        <v>121</v>
      </c>
      <c r="D59" s="269" t="s">
        <v>99</v>
      </c>
      <c r="E59" s="265">
        <v>1000</v>
      </c>
      <c r="F59" s="382">
        <f t="shared" si="0"/>
        <v>1.9254803020356539</v>
      </c>
      <c r="G59" s="239">
        <v>519.35093749999999</v>
      </c>
      <c r="H59" s="270" t="s">
        <v>111</v>
      </c>
      <c r="I59" s="265" t="s">
        <v>133</v>
      </c>
      <c r="J59" s="271" t="s">
        <v>96</v>
      </c>
      <c r="K59" s="170" t="s">
        <v>344</v>
      </c>
      <c r="L59" s="271" t="s">
        <v>113</v>
      </c>
    </row>
    <row r="60" spans="1:12" ht="15.6" hidden="1">
      <c r="A60" s="268">
        <v>46049</v>
      </c>
      <c r="B60" s="265" t="s">
        <v>186</v>
      </c>
      <c r="C60" s="265" t="s">
        <v>121</v>
      </c>
      <c r="D60" s="269" t="s">
        <v>99</v>
      </c>
      <c r="E60" s="265">
        <v>1000</v>
      </c>
      <c r="F60" s="382">
        <f t="shared" si="0"/>
        <v>1.9254803020356539</v>
      </c>
      <c r="G60" s="239">
        <v>519.35093749999999</v>
      </c>
      <c r="H60" s="270" t="s">
        <v>111</v>
      </c>
      <c r="I60" s="265" t="s">
        <v>133</v>
      </c>
      <c r="J60" s="271" t="s">
        <v>96</v>
      </c>
      <c r="K60" s="170" t="s">
        <v>344</v>
      </c>
      <c r="L60" s="271" t="s">
        <v>113</v>
      </c>
    </row>
    <row r="61" spans="1:12" ht="15.6" hidden="1">
      <c r="A61" s="268">
        <v>46049</v>
      </c>
      <c r="B61" s="265" t="s">
        <v>211</v>
      </c>
      <c r="C61" s="265" t="s">
        <v>121</v>
      </c>
      <c r="D61" s="269" t="s">
        <v>99</v>
      </c>
      <c r="E61" s="265">
        <v>1000</v>
      </c>
      <c r="F61" s="382">
        <f t="shared" si="0"/>
        <v>1.9254803020356539</v>
      </c>
      <c r="G61" s="239">
        <v>519.35093749999999</v>
      </c>
      <c r="H61" s="270" t="s">
        <v>111</v>
      </c>
      <c r="I61" s="265" t="s">
        <v>133</v>
      </c>
      <c r="J61" s="271" t="s">
        <v>96</v>
      </c>
      <c r="K61" s="170" t="s">
        <v>344</v>
      </c>
      <c r="L61" s="271" t="s">
        <v>113</v>
      </c>
    </row>
    <row r="62" spans="1:12" ht="15.6" hidden="1">
      <c r="A62" s="268">
        <v>46049</v>
      </c>
      <c r="B62" s="265" t="s">
        <v>187</v>
      </c>
      <c r="C62" s="265" t="s">
        <v>121</v>
      </c>
      <c r="D62" s="269" t="s">
        <v>99</v>
      </c>
      <c r="E62" s="265">
        <v>1000</v>
      </c>
      <c r="F62" s="382">
        <f t="shared" si="0"/>
        <v>1.9254803020356539</v>
      </c>
      <c r="G62" s="239">
        <v>519.35093749999999</v>
      </c>
      <c r="H62" s="270" t="s">
        <v>111</v>
      </c>
      <c r="I62" s="265" t="s">
        <v>133</v>
      </c>
      <c r="J62" s="271" t="s">
        <v>96</v>
      </c>
      <c r="K62" s="170" t="s">
        <v>344</v>
      </c>
      <c r="L62" s="271" t="s">
        <v>113</v>
      </c>
    </row>
    <row r="63" spans="1:12" ht="15.6" hidden="1">
      <c r="A63" s="268">
        <v>46050</v>
      </c>
      <c r="B63" s="265" t="s">
        <v>212</v>
      </c>
      <c r="C63" s="265" t="s">
        <v>121</v>
      </c>
      <c r="D63" s="269" t="s">
        <v>99</v>
      </c>
      <c r="E63" s="265">
        <v>1000</v>
      </c>
      <c r="F63" s="382">
        <f t="shared" si="0"/>
        <v>1.9254803020356539</v>
      </c>
      <c r="G63" s="239">
        <v>519.35093749999999</v>
      </c>
      <c r="H63" s="270" t="s">
        <v>111</v>
      </c>
      <c r="I63" s="265" t="s">
        <v>133</v>
      </c>
      <c r="J63" s="271" t="s">
        <v>96</v>
      </c>
      <c r="K63" s="170" t="s">
        <v>344</v>
      </c>
      <c r="L63" s="271" t="s">
        <v>113</v>
      </c>
    </row>
    <row r="64" spans="1:12" ht="15.6" hidden="1">
      <c r="A64" s="268">
        <v>46050</v>
      </c>
      <c r="B64" s="265" t="s">
        <v>213</v>
      </c>
      <c r="C64" s="265" t="s">
        <v>121</v>
      </c>
      <c r="D64" s="269" t="s">
        <v>99</v>
      </c>
      <c r="E64" s="265">
        <v>1000</v>
      </c>
      <c r="F64" s="382">
        <f t="shared" si="0"/>
        <v>1.9254803020356539</v>
      </c>
      <c r="G64" s="239">
        <v>519.35093749999999</v>
      </c>
      <c r="H64" s="270" t="s">
        <v>111</v>
      </c>
      <c r="I64" s="265" t="s">
        <v>133</v>
      </c>
      <c r="J64" s="271" t="s">
        <v>96</v>
      </c>
      <c r="K64" s="170" t="s">
        <v>344</v>
      </c>
      <c r="L64" s="271" t="s">
        <v>113</v>
      </c>
    </row>
    <row r="65" spans="1:14" ht="15.6" hidden="1">
      <c r="A65" s="268">
        <v>46050</v>
      </c>
      <c r="B65" s="265" t="s">
        <v>191</v>
      </c>
      <c r="C65" s="265" t="s">
        <v>121</v>
      </c>
      <c r="D65" s="269" t="s">
        <v>99</v>
      </c>
      <c r="E65" s="265">
        <v>1000</v>
      </c>
      <c r="F65" s="382">
        <f t="shared" si="0"/>
        <v>1.9254803020356539</v>
      </c>
      <c r="G65" s="239">
        <v>519.35093749999999</v>
      </c>
      <c r="H65" s="270" t="s">
        <v>111</v>
      </c>
      <c r="I65" s="265" t="s">
        <v>133</v>
      </c>
      <c r="J65" s="271" t="s">
        <v>96</v>
      </c>
      <c r="K65" s="170" t="s">
        <v>344</v>
      </c>
      <c r="L65" s="271" t="s">
        <v>113</v>
      </c>
    </row>
    <row r="66" spans="1:14" ht="15.6" hidden="1">
      <c r="A66" s="268">
        <v>46052</v>
      </c>
      <c r="B66" s="265" t="s">
        <v>186</v>
      </c>
      <c r="C66" s="265" t="s">
        <v>121</v>
      </c>
      <c r="D66" s="269" t="s">
        <v>99</v>
      </c>
      <c r="E66" s="265">
        <v>1000</v>
      </c>
      <c r="F66" s="382">
        <f t="shared" ref="F66:F129" si="1">E66/G66</f>
        <v>1.9254803020356539</v>
      </c>
      <c r="G66" s="239">
        <v>519.35093749999999</v>
      </c>
      <c r="H66" s="270" t="s">
        <v>111</v>
      </c>
      <c r="I66" s="265" t="s">
        <v>133</v>
      </c>
      <c r="J66" s="271" t="s">
        <v>96</v>
      </c>
      <c r="K66" s="170" t="s">
        <v>344</v>
      </c>
      <c r="L66" s="271" t="s">
        <v>113</v>
      </c>
    </row>
    <row r="67" spans="1:14" ht="15.6" hidden="1">
      <c r="A67" s="268">
        <v>46052</v>
      </c>
      <c r="B67" s="265" t="s">
        <v>214</v>
      </c>
      <c r="C67" s="265" t="s">
        <v>121</v>
      </c>
      <c r="D67" s="269" t="s">
        <v>99</v>
      </c>
      <c r="E67" s="265">
        <v>1000</v>
      </c>
      <c r="F67" s="382">
        <f t="shared" si="1"/>
        <v>1.9254803020356539</v>
      </c>
      <c r="G67" s="239">
        <v>519.35093749999999</v>
      </c>
      <c r="H67" s="270" t="s">
        <v>111</v>
      </c>
      <c r="I67" s="265" t="s">
        <v>133</v>
      </c>
      <c r="J67" s="271" t="s">
        <v>96</v>
      </c>
      <c r="K67" s="170" t="s">
        <v>344</v>
      </c>
      <c r="L67" s="271" t="s">
        <v>113</v>
      </c>
    </row>
    <row r="68" spans="1:14" ht="15.6" hidden="1">
      <c r="A68" s="268">
        <v>46052</v>
      </c>
      <c r="B68" s="265" t="s">
        <v>187</v>
      </c>
      <c r="C68" s="265" t="s">
        <v>121</v>
      </c>
      <c r="D68" s="269" t="s">
        <v>99</v>
      </c>
      <c r="E68" s="265">
        <v>1000</v>
      </c>
      <c r="F68" s="382">
        <f t="shared" si="1"/>
        <v>1.9254803020356539</v>
      </c>
      <c r="G68" s="239">
        <v>519.35093749999999</v>
      </c>
      <c r="H68" s="270" t="s">
        <v>111</v>
      </c>
      <c r="I68" s="265" t="s">
        <v>133</v>
      </c>
      <c r="J68" s="271" t="s">
        <v>96</v>
      </c>
      <c r="K68" s="170" t="s">
        <v>344</v>
      </c>
      <c r="L68" s="271" t="s">
        <v>113</v>
      </c>
    </row>
    <row r="69" spans="1:14" ht="15.6" hidden="1">
      <c r="A69" s="355">
        <v>46055</v>
      </c>
      <c r="B69" s="172" t="s">
        <v>306</v>
      </c>
      <c r="C69" s="363" t="s">
        <v>337</v>
      </c>
      <c r="D69" s="359" t="s">
        <v>99</v>
      </c>
      <c r="E69" s="172">
        <v>1000</v>
      </c>
      <c r="F69" s="482">
        <f t="shared" si="1"/>
        <v>1.8771635173931283</v>
      </c>
      <c r="G69" s="481">
        <v>532.71864210781655</v>
      </c>
      <c r="H69" s="360" t="s">
        <v>111</v>
      </c>
      <c r="I69" s="172" t="s">
        <v>318</v>
      </c>
      <c r="J69" s="172" t="s">
        <v>96</v>
      </c>
      <c r="K69" s="172" t="s">
        <v>185</v>
      </c>
      <c r="L69" s="172" t="s">
        <v>113</v>
      </c>
      <c r="M69" s="436"/>
      <c r="N69" s="436"/>
    </row>
    <row r="70" spans="1:14" ht="15.6" hidden="1">
      <c r="A70" s="355">
        <v>46055</v>
      </c>
      <c r="B70" s="172" t="s">
        <v>187</v>
      </c>
      <c r="C70" s="363" t="s">
        <v>337</v>
      </c>
      <c r="D70" s="359" t="s">
        <v>99</v>
      </c>
      <c r="E70" s="172">
        <v>1000</v>
      </c>
      <c r="F70" s="482">
        <f t="shared" si="1"/>
        <v>1.8771635173931283</v>
      </c>
      <c r="G70" s="481">
        <v>532.71864210781655</v>
      </c>
      <c r="H70" s="360" t="s">
        <v>111</v>
      </c>
      <c r="I70" s="172" t="s">
        <v>318</v>
      </c>
      <c r="J70" s="172" t="s">
        <v>96</v>
      </c>
      <c r="K70" s="172" t="s">
        <v>185</v>
      </c>
      <c r="L70" s="172" t="s">
        <v>113</v>
      </c>
      <c r="M70" s="172"/>
      <c r="N70" s="172"/>
    </row>
    <row r="71" spans="1:14" ht="15.6" hidden="1">
      <c r="A71" s="355">
        <v>46056</v>
      </c>
      <c r="B71" s="172" t="s">
        <v>186</v>
      </c>
      <c r="C71" s="363" t="s">
        <v>337</v>
      </c>
      <c r="D71" s="359" t="s">
        <v>99</v>
      </c>
      <c r="E71" s="172">
        <v>1000</v>
      </c>
      <c r="F71" s="482">
        <f t="shared" si="1"/>
        <v>1.8771635173931283</v>
      </c>
      <c r="G71" s="481">
        <v>532.71864210781655</v>
      </c>
      <c r="H71" s="360" t="s">
        <v>111</v>
      </c>
      <c r="I71" s="172" t="s">
        <v>318</v>
      </c>
      <c r="J71" s="172" t="s">
        <v>96</v>
      </c>
      <c r="K71" s="172" t="s">
        <v>185</v>
      </c>
      <c r="L71" s="172" t="s">
        <v>113</v>
      </c>
      <c r="M71" s="172"/>
      <c r="N71" s="172"/>
    </row>
    <row r="72" spans="1:14" ht="15.6" hidden="1">
      <c r="A72" s="355">
        <v>46056</v>
      </c>
      <c r="B72" s="172" t="s">
        <v>307</v>
      </c>
      <c r="C72" s="363" t="s">
        <v>337</v>
      </c>
      <c r="D72" s="359" t="s">
        <v>99</v>
      </c>
      <c r="E72" s="172">
        <v>1000</v>
      </c>
      <c r="F72" s="482">
        <f t="shared" si="1"/>
        <v>1.8771635173931283</v>
      </c>
      <c r="G72" s="481">
        <v>532.71864210781655</v>
      </c>
      <c r="H72" s="360" t="s">
        <v>111</v>
      </c>
      <c r="I72" s="172" t="s">
        <v>318</v>
      </c>
      <c r="J72" s="172" t="s">
        <v>96</v>
      </c>
      <c r="K72" s="172" t="s">
        <v>185</v>
      </c>
      <c r="L72" s="172" t="s">
        <v>113</v>
      </c>
      <c r="M72" s="172"/>
      <c r="N72" s="172"/>
    </row>
    <row r="73" spans="1:14" ht="15.6" hidden="1">
      <c r="A73" s="355">
        <v>46056</v>
      </c>
      <c r="B73" s="172" t="s">
        <v>308</v>
      </c>
      <c r="C73" s="363" t="s">
        <v>337</v>
      </c>
      <c r="D73" s="359" t="s">
        <v>99</v>
      </c>
      <c r="E73" s="172">
        <v>1000</v>
      </c>
      <c r="F73" s="482">
        <f t="shared" si="1"/>
        <v>1.8771635173931283</v>
      </c>
      <c r="G73" s="481">
        <v>532.71864210781655</v>
      </c>
      <c r="H73" s="360" t="s">
        <v>111</v>
      </c>
      <c r="I73" s="172" t="s">
        <v>318</v>
      </c>
      <c r="J73" s="172" t="s">
        <v>96</v>
      </c>
      <c r="K73" s="172" t="s">
        <v>185</v>
      </c>
      <c r="L73" s="172" t="s">
        <v>113</v>
      </c>
      <c r="M73" s="172"/>
      <c r="N73" s="172"/>
    </row>
    <row r="74" spans="1:14" ht="15.6" hidden="1">
      <c r="A74" s="355">
        <v>46056</v>
      </c>
      <c r="B74" s="172" t="s">
        <v>187</v>
      </c>
      <c r="C74" s="363" t="s">
        <v>337</v>
      </c>
      <c r="D74" s="359" t="s">
        <v>99</v>
      </c>
      <c r="E74" s="172">
        <v>1000</v>
      </c>
      <c r="F74" s="482">
        <f t="shared" si="1"/>
        <v>1.8771635173931283</v>
      </c>
      <c r="G74" s="481">
        <v>532.71864210781655</v>
      </c>
      <c r="H74" s="360" t="s">
        <v>111</v>
      </c>
      <c r="I74" s="172" t="s">
        <v>318</v>
      </c>
      <c r="J74" s="172" t="s">
        <v>96</v>
      </c>
      <c r="K74" s="172" t="s">
        <v>185</v>
      </c>
      <c r="L74" s="172" t="s">
        <v>113</v>
      </c>
      <c r="M74" s="172"/>
      <c r="N74" s="172"/>
    </row>
    <row r="75" spans="1:14" ht="15.6" hidden="1">
      <c r="A75" s="355">
        <v>46057</v>
      </c>
      <c r="B75" s="172" t="s">
        <v>186</v>
      </c>
      <c r="C75" s="363" t="s">
        <v>337</v>
      </c>
      <c r="D75" s="359" t="s">
        <v>99</v>
      </c>
      <c r="E75" s="172">
        <v>1000</v>
      </c>
      <c r="F75" s="482">
        <f t="shared" si="1"/>
        <v>1.8771635173931283</v>
      </c>
      <c r="G75" s="481">
        <v>532.71864210781655</v>
      </c>
      <c r="H75" s="360" t="s">
        <v>111</v>
      </c>
      <c r="I75" s="172" t="s">
        <v>318</v>
      </c>
      <c r="J75" s="172" t="s">
        <v>96</v>
      </c>
      <c r="K75" s="172" t="s">
        <v>185</v>
      </c>
      <c r="L75" s="172" t="s">
        <v>113</v>
      </c>
      <c r="M75" s="172"/>
      <c r="N75" s="172"/>
    </row>
    <row r="76" spans="1:14" ht="15.6" hidden="1">
      <c r="A76" s="355">
        <v>46057</v>
      </c>
      <c r="B76" s="172" t="s">
        <v>187</v>
      </c>
      <c r="C76" s="363" t="s">
        <v>337</v>
      </c>
      <c r="D76" s="359" t="s">
        <v>99</v>
      </c>
      <c r="E76" s="172">
        <v>1000</v>
      </c>
      <c r="F76" s="482">
        <f t="shared" si="1"/>
        <v>1.8771635173931283</v>
      </c>
      <c r="G76" s="481">
        <v>532.71864210781655</v>
      </c>
      <c r="H76" s="360" t="s">
        <v>111</v>
      </c>
      <c r="I76" s="172" t="s">
        <v>318</v>
      </c>
      <c r="J76" s="172" t="s">
        <v>96</v>
      </c>
      <c r="K76" s="172" t="s">
        <v>185</v>
      </c>
      <c r="L76" s="172" t="s">
        <v>113</v>
      </c>
      <c r="M76" s="172"/>
      <c r="N76" s="172"/>
    </row>
    <row r="77" spans="1:14" ht="15.6" hidden="1">
      <c r="A77" s="355">
        <v>46058</v>
      </c>
      <c r="B77" s="172" t="s">
        <v>186</v>
      </c>
      <c r="C77" s="363" t="s">
        <v>337</v>
      </c>
      <c r="D77" s="359" t="s">
        <v>99</v>
      </c>
      <c r="E77" s="172">
        <v>1000</v>
      </c>
      <c r="F77" s="482">
        <f t="shared" si="1"/>
        <v>1.8771635173931283</v>
      </c>
      <c r="G77" s="481">
        <v>532.71864210781655</v>
      </c>
      <c r="H77" s="360" t="s">
        <v>111</v>
      </c>
      <c r="I77" s="172" t="s">
        <v>318</v>
      </c>
      <c r="J77" s="172" t="s">
        <v>96</v>
      </c>
      <c r="K77" s="172" t="s">
        <v>185</v>
      </c>
      <c r="L77" s="172" t="s">
        <v>113</v>
      </c>
      <c r="M77" s="172"/>
      <c r="N77" s="172"/>
    </row>
    <row r="78" spans="1:14" ht="15.6" hidden="1">
      <c r="A78" s="355">
        <v>46058</v>
      </c>
      <c r="B78" s="172" t="s">
        <v>187</v>
      </c>
      <c r="C78" s="363" t="s">
        <v>337</v>
      </c>
      <c r="D78" s="359" t="s">
        <v>99</v>
      </c>
      <c r="E78" s="172">
        <v>1000</v>
      </c>
      <c r="F78" s="482">
        <f t="shared" si="1"/>
        <v>1.8771635173931283</v>
      </c>
      <c r="G78" s="481">
        <v>532.71864210781655</v>
      </c>
      <c r="H78" s="360" t="s">
        <v>111</v>
      </c>
      <c r="I78" s="172" t="s">
        <v>318</v>
      </c>
      <c r="J78" s="172" t="s">
        <v>96</v>
      </c>
      <c r="K78" s="172" t="s">
        <v>185</v>
      </c>
      <c r="L78" s="172" t="s">
        <v>113</v>
      </c>
      <c r="M78" s="172"/>
      <c r="N78" s="172"/>
    </row>
    <row r="79" spans="1:14" ht="15.6" hidden="1">
      <c r="A79" s="355">
        <v>46059</v>
      </c>
      <c r="B79" s="172" t="s">
        <v>186</v>
      </c>
      <c r="C79" s="363" t="s">
        <v>337</v>
      </c>
      <c r="D79" s="359" t="s">
        <v>99</v>
      </c>
      <c r="E79" s="172">
        <v>1000</v>
      </c>
      <c r="F79" s="482">
        <f t="shared" si="1"/>
        <v>1.8771635173931283</v>
      </c>
      <c r="G79" s="481">
        <v>532.71864210781655</v>
      </c>
      <c r="H79" s="360" t="s">
        <v>111</v>
      </c>
      <c r="I79" s="172" t="s">
        <v>318</v>
      </c>
      <c r="J79" s="172" t="s">
        <v>96</v>
      </c>
      <c r="K79" s="172" t="s">
        <v>185</v>
      </c>
      <c r="L79" s="172" t="s">
        <v>113</v>
      </c>
      <c r="M79" s="172"/>
      <c r="N79" s="172"/>
    </row>
    <row r="80" spans="1:14" ht="15.6" hidden="1">
      <c r="A80" s="355">
        <v>46059</v>
      </c>
      <c r="B80" s="172" t="s">
        <v>309</v>
      </c>
      <c r="C80" s="363" t="s">
        <v>337</v>
      </c>
      <c r="D80" s="359" t="s">
        <v>99</v>
      </c>
      <c r="E80" s="172">
        <v>1000</v>
      </c>
      <c r="F80" s="482">
        <f t="shared" si="1"/>
        <v>1.8771635173931283</v>
      </c>
      <c r="G80" s="481">
        <v>532.71864210781655</v>
      </c>
      <c r="H80" s="360" t="s">
        <v>111</v>
      </c>
      <c r="I80" s="172" t="s">
        <v>318</v>
      </c>
      <c r="J80" s="172" t="s">
        <v>96</v>
      </c>
      <c r="K80" s="172" t="s">
        <v>185</v>
      </c>
      <c r="L80" s="172" t="s">
        <v>113</v>
      </c>
      <c r="M80" s="172"/>
      <c r="N80" s="172"/>
    </row>
    <row r="81" spans="1:14" ht="15.6" hidden="1">
      <c r="A81" s="355">
        <v>46059</v>
      </c>
      <c r="B81" s="172" t="s">
        <v>310</v>
      </c>
      <c r="C81" s="363" t="s">
        <v>337</v>
      </c>
      <c r="D81" s="359" t="s">
        <v>99</v>
      </c>
      <c r="E81" s="172">
        <v>1000</v>
      </c>
      <c r="F81" s="482">
        <f t="shared" si="1"/>
        <v>1.8771635173931283</v>
      </c>
      <c r="G81" s="481">
        <v>532.71864210781655</v>
      </c>
      <c r="H81" s="360" t="s">
        <v>111</v>
      </c>
      <c r="I81" s="172" t="s">
        <v>318</v>
      </c>
      <c r="J81" s="172" t="s">
        <v>96</v>
      </c>
      <c r="K81" s="172" t="s">
        <v>185</v>
      </c>
      <c r="L81" s="172" t="s">
        <v>113</v>
      </c>
      <c r="M81" s="172"/>
      <c r="N81" s="172"/>
    </row>
    <row r="82" spans="1:14" ht="15.6" hidden="1">
      <c r="A82" s="264">
        <v>46059</v>
      </c>
      <c r="B82" s="172" t="s">
        <v>321</v>
      </c>
      <c r="C82" s="363" t="s">
        <v>337</v>
      </c>
      <c r="D82" s="172" t="s">
        <v>98</v>
      </c>
      <c r="E82" s="483">
        <v>1000</v>
      </c>
      <c r="F82" s="482">
        <f t="shared" si="1"/>
        <v>1.8771635173931283</v>
      </c>
      <c r="G82" s="481">
        <v>532.71864210781655</v>
      </c>
      <c r="H82" s="172" t="s">
        <v>168</v>
      </c>
      <c r="I82" s="172" t="s">
        <v>336</v>
      </c>
      <c r="J82" s="172" t="s">
        <v>96</v>
      </c>
      <c r="K82" s="172" t="s">
        <v>185</v>
      </c>
      <c r="L82" s="172" t="s">
        <v>113</v>
      </c>
      <c r="M82" s="172"/>
      <c r="N82" s="172"/>
    </row>
    <row r="83" spans="1:14" ht="15.6" hidden="1">
      <c r="A83" s="264">
        <v>46059</v>
      </c>
      <c r="B83" s="211" t="s">
        <v>197</v>
      </c>
      <c r="C83" s="363" t="s">
        <v>337</v>
      </c>
      <c r="D83" s="211" t="s">
        <v>98</v>
      </c>
      <c r="E83" s="344">
        <v>1000</v>
      </c>
      <c r="F83" s="482">
        <f t="shared" si="1"/>
        <v>1.8771635173931283</v>
      </c>
      <c r="G83" s="481">
        <v>532.71864210781655</v>
      </c>
      <c r="H83" s="211" t="s">
        <v>168</v>
      </c>
      <c r="I83" s="211" t="s">
        <v>336</v>
      </c>
      <c r="J83" s="172" t="s">
        <v>96</v>
      </c>
      <c r="K83" s="172" t="s">
        <v>185</v>
      </c>
      <c r="L83" s="172" t="s">
        <v>113</v>
      </c>
      <c r="M83" s="172"/>
      <c r="N83" s="172"/>
    </row>
    <row r="84" spans="1:14" ht="15.6" hidden="1">
      <c r="A84" s="355">
        <v>46062</v>
      </c>
      <c r="B84" s="172" t="s">
        <v>186</v>
      </c>
      <c r="C84" s="363" t="s">
        <v>337</v>
      </c>
      <c r="D84" s="359" t="s">
        <v>99</v>
      </c>
      <c r="E84" s="172">
        <v>1000</v>
      </c>
      <c r="F84" s="482">
        <f t="shared" si="1"/>
        <v>1.8771635173931283</v>
      </c>
      <c r="G84" s="481">
        <v>532.71864210781655</v>
      </c>
      <c r="H84" s="360" t="s">
        <v>111</v>
      </c>
      <c r="I84" s="172" t="s">
        <v>318</v>
      </c>
      <c r="J84" s="172" t="s">
        <v>96</v>
      </c>
      <c r="K84" s="172" t="s">
        <v>185</v>
      </c>
      <c r="L84" s="172" t="s">
        <v>113</v>
      </c>
      <c r="M84" s="172"/>
      <c r="N84" s="172"/>
    </row>
    <row r="85" spans="1:14" ht="15.6" hidden="1">
      <c r="A85" s="355">
        <v>46062</v>
      </c>
      <c r="B85" s="172" t="s">
        <v>187</v>
      </c>
      <c r="C85" s="363" t="s">
        <v>337</v>
      </c>
      <c r="D85" s="359" t="s">
        <v>99</v>
      </c>
      <c r="E85" s="172">
        <v>1000</v>
      </c>
      <c r="F85" s="482">
        <f t="shared" si="1"/>
        <v>1.8771635173931283</v>
      </c>
      <c r="G85" s="481">
        <v>532.71864210781655</v>
      </c>
      <c r="H85" s="360" t="s">
        <v>111</v>
      </c>
      <c r="I85" s="172" t="s">
        <v>318</v>
      </c>
      <c r="J85" s="172" t="s">
        <v>96</v>
      </c>
      <c r="K85" s="172" t="s">
        <v>185</v>
      </c>
      <c r="L85" s="172" t="s">
        <v>113</v>
      </c>
      <c r="M85" s="172"/>
      <c r="N85" s="172"/>
    </row>
    <row r="86" spans="1:14" ht="15.6" hidden="1">
      <c r="A86" s="355">
        <v>46062</v>
      </c>
      <c r="B86" s="363" t="s">
        <v>311</v>
      </c>
      <c r="C86" s="363" t="s">
        <v>110</v>
      </c>
      <c r="D86" s="359" t="s">
        <v>99</v>
      </c>
      <c r="E86" s="172">
        <v>10000</v>
      </c>
      <c r="F86" s="482">
        <f t="shared" si="1"/>
        <v>19.25480302035654</v>
      </c>
      <c r="G86" s="239">
        <v>519.35093749999999</v>
      </c>
      <c r="H86" s="360" t="s">
        <v>111</v>
      </c>
      <c r="I86" s="172" t="s">
        <v>319</v>
      </c>
      <c r="J86" s="172" t="s">
        <v>96</v>
      </c>
      <c r="K86" s="172" t="s">
        <v>344</v>
      </c>
      <c r="L86" s="172" t="s">
        <v>113</v>
      </c>
      <c r="M86" s="172"/>
      <c r="N86" s="172"/>
    </row>
    <row r="87" spans="1:14" ht="15.6" hidden="1">
      <c r="A87" s="355">
        <v>46063</v>
      </c>
      <c r="B87" s="172" t="s">
        <v>186</v>
      </c>
      <c r="C87" s="363" t="s">
        <v>337</v>
      </c>
      <c r="D87" s="359" t="s">
        <v>99</v>
      </c>
      <c r="E87" s="172">
        <v>1000</v>
      </c>
      <c r="F87" s="482">
        <f t="shared" si="1"/>
        <v>1.9254803020356539</v>
      </c>
      <c r="G87" s="239">
        <v>519.35093749999999</v>
      </c>
      <c r="H87" s="360" t="s">
        <v>111</v>
      </c>
      <c r="I87" s="172" t="s">
        <v>318</v>
      </c>
      <c r="J87" s="172" t="s">
        <v>96</v>
      </c>
      <c r="K87" s="172" t="s">
        <v>344</v>
      </c>
      <c r="L87" s="172" t="s">
        <v>113</v>
      </c>
      <c r="M87" s="172"/>
      <c r="N87" s="172"/>
    </row>
    <row r="88" spans="1:14" ht="15.6" hidden="1">
      <c r="A88" s="355">
        <v>46063</v>
      </c>
      <c r="B88" s="172" t="s">
        <v>187</v>
      </c>
      <c r="C88" s="363" t="s">
        <v>337</v>
      </c>
      <c r="D88" s="359" t="s">
        <v>99</v>
      </c>
      <c r="E88" s="172">
        <v>1000</v>
      </c>
      <c r="F88" s="482">
        <f t="shared" si="1"/>
        <v>1.9254803020356539</v>
      </c>
      <c r="G88" s="239">
        <v>519.35093749999999</v>
      </c>
      <c r="H88" s="360" t="s">
        <v>111</v>
      </c>
      <c r="I88" s="172" t="s">
        <v>318</v>
      </c>
      <c r="J88" s="172" t="s">
        <v>96</v>
      </c>
      <c r="K88" s="172" t="s">
        <v>344</v>
      </c>
      <c r="L88" s="172" t="s">
        <v>113</v>
      </c>
      <c r="M88" s="172"/>
      <c r="N88" s="172"/>
    </row>
    <row r="89" spans="1:14" ht="15.6" hidden="1">
      <c r="A89" s="355">
        <v>46064</v>
      </c>
      <c r="B89" s="172" t="s">
        <v>186</v>
      </c>
      <c r="C89" s="363" t="s">
        <v>337</v>
      </c>
      <c r="D89" s="359" t="s">
        <v>99</v>
      </c>
      <c r="E89" s="172">
        <v>1000</v>
      </c>
      <c r="F89" s="482">
        <f t="shared" si="1"/>
        <v>1.9254803020356539</v>
      </c>
      <c r="G89" s="239">
        <v>519.35093749999999</v>
      </c>
      <c r="H89" s="360" t="s">
        <v>111</v>
      </c>
      <c r="I89" s="172" t="s">
        <v>318</v>
      </c>
      <c r="J89" s="172" t="s">
        <v>96</v>
      </c>
      <c r="K89" s="172" t="s">
        <v>344</v>
      </c>
      <c r="L89" s="172" t="s">
        <v>113</v>
      </c>
      <c r="M89" s="172"/>
      <c r="N89" s="172"/>
    </row>
    <row r="90" spans="1:14" ht="15.6" hidden="1">
      <c r="A90" s="355">
        <v>46064</v>
      </c>
      <c r="B90" s="172" t="s">
        <v>192</v>
      </c>
      <c r="C90" s="363" t="s">
        <v>337</v>
      </c>
      <c r="D90" s="359" t="s">
        <v>99</v>
      </c>
      <c r="E90" s="172">
        <v>1000</v>
      </c>
      <c r="F90" s="482">
        <f t="shared" si="1"/>
        <v>1.8771635173931283</v>
      </c>
      <c r="G90" s="481">
        <v>532.71864210781655</v>
      </c>
      <c r="H90" s="360" t="s">
        <v>111</v>
      </c>
      <c r="I90" s="172" t="s">
        <v>318</v>
      </c>
      <c r="J90" s="172" t="s">
        <v>96</v>
      </c>
      <c r="K90" s="172" t="s">
        <v>185</v>
      </c>
      <c r="L90" s="172" t="s">
        <v>113</v>
      </c>
      <c r="M90" s="172"/>
      <c r="N90" s="172"/>
    </row>
    <row r="91" spans="1:14" ht="15.6" hidden="1">
      <c r="A91" s="355">
        <v>46065</v>
      </c>
      <c r="B91" s="172" t="s">
        <v>188</v>
      </c>
      <c r="C91" s="363" t="s">
        <v>337</v>
      </c>
      <c r="D91" s="359" t="s">
        <v>99</v>
      </c>
      <c r="E91" s="172">
        <v>1000</v>
      </c>
      <c r="F91" s="482">
        <f t="shared" si="1"/>
        <v>1.8771635173931283</v>
      </c>
      <c r="G91" s="481">
        <v>532.71864210781655</v>
      </c>
      <c r="H91" s="360" t="s">
        <v>111</v>
      </c>
      <c r="I91" s="172" t="s">
        <v>318</v>
      </c>
      <c r="J91" s="172" t="s">
        <v>96</v>
      </c>
      <c r="K91" s="172" t="s">
        <v>185</v>
      </c>
      <c r="L91" s="172" t="s">
        <v>113</v>
      </c>
      <c r="M91" s="172"/>
      <c r="N91" s="172"/>
    </row>
    <row r="92" spans="1:14" ht="15.6" hidden="1">
      <c r="A92" s="355">
        <v>46065</v>
      </c>
      <c r="B92" s="172" t="s">
        <v>307</v>
      </c>
      <c r="C92" s="363" t="s">
        <v>337</v>
      </c>
      <c r="D92" s="359" t="s">
        <v>99</v>
      </c>
      <c r="E92" s="172">
        <v>1000</v>
      </c>
      <c r="F92" s="482">
        <f t="shared" si="1"/>
        <v>1.8771635173931283</v>
      </c>
      <c r="G92" s="481">
        <v>532.71864210781655</v>
      </c>
      <c r="H92" s="360" t="s">
        <v>111</v>
      </c>
      <c r="I92" s="172" t="s">
        <v>318</v>
      </c>
      <c r="J92" s="172" t="s">
        <v>96</v>
      </c>
      <c r="K92" s="172" t="s">
        <v>185</v>
      </c>
      <c r="L92" s="172" t="s">
        <v>113</v>
      </c>
      <c r="M92" s="172"/>
      <c r="N92" s="172"/>
    </row>
    <row r="93" spans="1:14" ht="15.6" hidden="1">
      <c r="A93" s="355">
        <v>46065</v>
      </c>
      <c r="B93" s="172" t="s">
        <v>312</v>
      </c>
      <c r="C93" s="363" t="s">
        <v>337</v>
      </c>
      <c r="D93" s="359" t="s">
        <v>99</v>
      </c>
      <c r="E93" s="172">
        <v>1000</v>
      </c>
      <c r="F93" s="482">
        <f t="shared" si="1"/>
        <v>1.8771635173931283</v>
      </c>
      <c r="G93" s="481">
        <v>532.71864210781655</v>
      </c>
      <c r="H93" s="360" t="s">
        <v>111</v>
      </c>
      <c r="I93" s="172" t="s">
        <v>318</v>
      </c>
      <c r="J93" s="172" t="s">
        <v>96</v>
      </c>
      <c r="K93" s="172" t="s">
        <v>185</v>
      </c>
      <c r="L93" s="172" t="s">
        <v>113</v>
      </c>
      <c r="M93" s="172"/>
      <c r="N93" s="172"/>
    </row>
    <row r="94" spans="1:14" ht="15.6" hidden="1">
      <c r="A94" s="355">
        <v>46065</v>
      </c>
      <c r="B94" s="172" t="s">
        <v>187</v>
      </c>
      <c r="C94" s="363" t="s">
        <v>337</v>
      </c>
      <c r="D94" s="359" t="s">
        <v>99</v>
      </c>
      <c r="E94" s="172">
        <v>1000</v>
      </c>
      <c r="F94" s="482">
        <f t="shared" si="1"/>
        <v>1.8771635173931283</v>
      </c>
      <c r="G94" s="481">
        <v>532.71864210781655</v>
      </c>
      <c r="H94" s="360" t="s">
        <v>111</v>
      </c>
      <c r="I94" s="172" t="s">
        <v>318</v>
      </c>
      <c r="J94" s="172" t="s">
        <v>96</v>
      </c>
      <c r="K94" s="172" t="s">
        <v>185</v>
      </c>
      <c r="L94" s="172" t="s">
        <v>113</v>
      </c>
      <c r="M94" s="172"/>
      <c r="N94" s="172"/>
    </row>
    <row r="95" spans="1:14" ht="15.6" hidden="1">
      <c r="A95" s="355">
        <v>46066</v>
      </c>
      <c r="B95" s="172" t="s">
        <v>306</v>
      </c>
      <c r="C95" s="363" t="s">
        <v>337</v>
      </c>
      <c r="D95" s="359" t="s">
        <v>99</v>
      </c>
      <c r="E95" s="172">
        <v>1000</v>
      </c>
      <c r="F95" s="482">
        <f t="shared" si="1"/>
        <v>1.8771635173931283</v>
      </c>
      <c r="G95" s="481">
        <v>532.71864210781655</v>
      </c>
      <c r="H95" s="360" t="s">
        <v>111</v>
      </c>
      <c r="I95" s="172" t="s">
        <v>318</v>
      </c>
      <c r="J95" s="172" t="s">
        <v>96</v>
      </c>
      <c r="K95" s="172" t="s">
        <v>185</v>
      </c>
      <c r="L95" s="172" t="s">
        <v>113</v>
      </c>
      <c r="M95" s="172"/>
      <c r="N95" s="172"/>
    </row>
    <row r="96" spans="1:14" ht="15.6" hidden="1">
      <c r="A96" s="355">
        <v>46066</v>
      </c>
      <c r="B96" s="172" t="s">
        <v>192</v>
      </c>
      <c r="C96" s="363" t="s">
        <v>337</v>
      </c>
      <c r="D96" s="359" t="s">
        <v>99</v>
      </c>
      <c r="E96" s="172">
        <v>1000</v>
      </c>
      <c r="F96" s="482">
        <f t="shared" si="1"/>
        <v>1.8771635173931283</v>
      </c>
      <c r="G96" s="481">
        <v>532.71864210781655</v>
      </c>
      <c r="H96" s="360" t="s">
        <v>111</v>
      </c>
      <c r="I96" s="172" t="s">
        <v>318</v>
      </c>
      <c r="J96" s="172" t="s">
        <v>96</v>
      </c>
      <c r="K96" s="172" t="s">
        <v>185</v>
      </c>
      <c r="L96" s="172" t="s">
        <v>113</v>
      </c>
      <c r="M96" s="172"/>
      <c r="N96" s="172"/>
    </row>
    <row r="97" spans="1:14" ht="15.6" hidden="1">
      <c r="A97" s="264">
        <v>46066</v>
      </c>
      <c r="B97" s="211" t="s">
        <v>217</v>
      </c>
      <c r="C97" s="363" t="s">
        <v>337</v>
      </c>
      <c r="D97" s="211" t="s">
        <v>98</v>
      </c>
      <c r="E97" s="344">
        <v>1000</v>
      </c>
      <c r="F97" s="482">
        <f t="shared" si="1"/>
        <v>1.8771635173931283</v>
      </c>
      <c r="G97" s="481">
        <v>532.71864210781655</v>
      </c>
      <c r="H97" s="211" t="s">
        <v>168</v>
      </c>
      <c r="I97" s="211" t="s">
        <v>336</v>
      </c>
      <c r="J97" s="172" t="s">
        <v>96</v>
      </c>
      <c r="K97" s="172" t="s">
        <v>185</v>
      </c>
      <c r="L97" s="172" t="s">
        <v>113</v>
      </c>
      <c r="M97" s="172"/>
      <c r="N97" s="172"/>
    </row>
    <row r="98" spans="1:14" ht="15.6" hidden="1">
      <c r="A98" s="264">
        <v>46066</v>
      </c>
      <c r="B98" s="211" t="s">
        <v>197</v>
      </c>
      <c r="C98" s="363" t="s">
        <v>337</v>
      </c>
      <c r="D98" s="211" t="s">
        <v>98</v>
      </c>
      <c r="E98" s="344">
        <v>1000</v>
      </c>
      <c r="F98" s="482">
        <f t="shared" si="1"/>
        <v>1.8771635173931283</v>
      </c>
      <c r="G98" s="481">
        <v>532.71864210781655</v>
      </c>
      <c r="H98" s="211" t="s">
        <v>168</v>
      </c>
      <c r="I98" s="211" t="s">
        <v>336</v>
      </c>
      <c r="J98" s="172" t="s">
        <v>96</v>
      </c>
      <c r="K98" s="172" t="s">
        <v>185</v>
      </c>
      <c r="L98" s="172" t="s">
        <v>113</v>
      </c>
      <c r="M98" s="172"/>
      <c r="N98" s="172"/>
    </row>
    <row r="99" spans="1:14" ht="15.6" hidden="1">
      <c r="A99" s="484">
        <v>46066</v>
      </c>
      <c r="B99" s="485" t="s">
        <v>341</v>
      </c>
      <c r="C99" s="172" t="s">
        <v>254</v>
      </c>
      <c r="D99" s="486"/>
      <c r="E99" s="344"/>
      <c r="F99" s="482">
        <f t="shared" si="1"/>
        <v>0</v>
      </c>
      <c r="G99" s="481">
        <v>524.80372990353703</v>
      </c>
      <c r="H99" s="211" t="s">
        <v>107</v>
      </c>
      <c r="I99" s="211" t="s">
        <v>281</v>
      </c>
      <c r="J99" s="172" t="s">
        <v>96</v>
      </c>
      <c r="K99" s="172" t="s">
        <v>340</v>
      </c>
      <c r="L99" s="172" t="s">
        <v>113</v>
      </c>
      <c r="M99" s="487">
        <v>6610726</v>
      </c>
      <c r="N99" s="211">
        <v>12550</v>
      </c>
    </row>
    <row r="100" spans="1:14" ht="15.6" hidden="1">
      <c r="A100" s="355">
        <v>46069</v>
      </c>
      <c r="B100" s="172" t="s">
        <v>186</v>
      </c>
      <c r="C100" s="363" t="s">
        <v>337</v>
      </c>
      <c r="D100" s="359" t="s">
        <v>99</v>
      </c>
      <c r="E100" s="172">
        <v>1000</v>
      </c>
      <c r="F100" s="482">
        <f t="shared" si="1"/>
        <v>1.8771635173931283</v>
      </c>
      <c r="G100" s="481">
        <v>532.71864210781655</v>
      </c>
      <c r="H100" s="360" t="s">
        <v>111</v>
      </c>
      <c r="I100" s="172" t="s">
        <v>318</v>
      </c>
      <c r="J100" s="172" t="s">
        <v>96</v>
      </c>
      <c r="K100" s="172" t="s">
        <v>185</v>
      </c>
      <c r="L100" s="172" t="s">
        <v>113</v>
      </c>
      <c r="M100" s="172"/>
      <c r="N100" s="172"/>
    </row>
    <row r="101" spans="1:14" ht="15.6" hidden="1">
      <c r="A101" s="355">
        <v>46069</v>
      </c>
      <c r="B101" s="172" t="s">
        <v>187</v>
      </c>
      <c r="C101" s="363" t="s">
        <v>337</v>
      </c>
      <c r="D101" s="359" t="s">
        <v>99</v>
      </c>
      <c r="E101" s="172">
        <v>1000</v>
      </c>
      <c r="F101" s="482">
        <f t="shared" si="1"/>
        <v>1.8771635173931283</v>
      </c>
      <c r="G101" s="481">
        <v>532.71864210781655</v>
      </c>
      <c r="H101" s="360" t="s">
        <v>111</v>
      </c>
      <c r="I101" s="172" t="s">
        <v>318</v>
      </c>
      <c r="J101" s="172" t="s">
        <v>96</v>
      </c>
      <c r="K101" s="172" t="s">
        <v>185</v>
      </c>
      <c r="L101" s="172" t="s">
        <v>113</v>
      </c>
      <c r="M101" s="172"/>
      <c r="N101" s="172"/>
    </row>
    <row r="102" spans="1:14" ht="15.6" hidden="1">
      <c r="A102" s="355">
        <v>46069</v>
      </c>
      <c r="B102" s="172" t="s">
        <v>187</v>
      </c>
      <c r="C102" s="363" t="s">
        <v>337</v>
      </c>
      <c r="D102" s="359" t="s">
        <v>99</v>
      </c>
      <c r="E102" s="172">
        <v>1000</v>
      </c>
      <c r="F102" s="482">
        <f t="shared" si="1"/>
        <v>1.8771635173931283</v>
      </c>
      <c r="G102" s="481">
        <v>532.71864210781655</v>
      </c>
      <c r="H102" s="360" t="s">
        <v>111</v>
      </c>
      <c r="I102" s="172" t="s">
        <v>318</v>
      </c>
      <c r="J102" s="172" t="s">
        <v>96</v>
      </c>
      <c r="K102" s="172" t="s">
        <v>185</v>
      </c>
      <c r="L102" s="172" t="s">
        <v>113</v>
      </c>
      <c r="M102" s="172"/>
      <c r="N102" s="172"/>
    </row>
    <row r="103" spans="1:14" ht="15.6" hidden="1">
      <c r="A103" s="355">
        <v>46069</v>
      </c>
      <c r="B103" s="172" t="s">
        <v>313</v>
      </c>
      <c r="C103" s="172" t="s">
        <v>314</v>
      </c>
      <c r="D103" s="359" t="s">
        <v>99</v>
      </c>
      <c r="E103" s="172">
        <v>250000</v>
      </c>
      <c r="F103" s="482">
        <f t="shared" si="1"/>
        <v>469.29087934828209</v>
      </c>
      <c r="G103" s="481">
        <v>532.71864210781655</v>
      </c>
      <c r="H103" s="360" t="s">
        <v>111</v>
      </c>
      <c r="I103" s="172" t="s">
        <v>320</v>
      </c>
      <c r="J103" s="172" t="s">
        <v>96</v>
      </c>
      <c r="K103" s="488" t="s">
        <v>185</v>
      </c>
      <c r="L103" s="172" t="s">
        <v>113</v>
      </c>
      <c r="M103" s="172"/>
      <c r="N103" s="172"/>
    </row>
    <row r="104" spans="1:14" ht="15.6" hidden="1">
      <c r="A104" s="264">
        <v>46069</v>
      </c>
      <c r="B104" s="211" t="s">
        <v>322</v>
      </c>
      <c r="C104" s="363" t="s">
        <v>337</v>
      </c>
      <c r="D104" s="211" t="s">
        <v>98</v>
      </c>
      <c r="E104" s="344">
        <v>1000</v>
      </c>
      <c r="F104" s="482">
        <f t="shared" si="1"/>
        <v>1.8771635173931283</v>
      </c>
      <c r="G104" s="481">
        <v>532.71864210781655</v>
      </c>
      <c r="H104" s="211" t="s">
        <v>168</v>
      </c>
      <c r="I104" s="211" t="s">
        <v>336</v>
      </c>
      <c r="J104" s="172" t="s">
        <v>96</v>
      </c>
      <c r="K104" s="172" t="s">
        <v>185</v>
      </c>
      <c r="L104" s="172" t="s">
        <v>113</v>
      </c>
      <c r="M104" s="172"/>
      <c r="N104" s="172"/>
    </row>
    <row r="105" spans="1:14" ht="15.6" hidden="1">
      <c r="A105" s="264">
        <v>46069</v>
      </c>
      <c r="B105" s="211" t="s">
        <v>197</v>
      </c>
      <c r="C105" s="363" t="s">
        <v>337</v>
      </c>
      <c r="D105" s="211" t="s">
        <v>98</v>
      </c>
      <c r="E105" s="344">
        <v>1000</v>
      </c>
      <c r="F105" s="482">
        <f t="shared" si="1"/>
        <v>1.8771635173931283</v>
      </c>
      <c r="G105" s="481">
        <v>532.71864210781655</v>
      </c>
      <c r="H105" s="211" t="s">
        <v>168</v>
      </c>
      <c r="I105" s="211" t="s">
        <v>336</v>
      </c>
      <c r="J105" s="172" t="s">
        <v>96</v>
      </c>
      <c r="K105" s="172" t="s">
        <v>185</v>
      </c>
      <c r="L105" s="172" t="s">
        <v>113</v>
      </c>
      <c r="M105" s="172"/>
      <c r="N105" s="172"/>
    </row>
    <row r="106" spans="1:14" ht="15.6" hidden="1">
      <c r="A106" s="264">
        <v>46069</v>
      </c>
      <c r="B106" s="211" t="s">
        <v>323</v>
      </c>
      <c r="C106" s="363" t="s">
        <v>337</v>
      </c>
      <c r="D106" s="211" t="s">
        <v>98</v>
      </c>
      <c r="E106" s="344">
        <v>1000</v>
      </c>
      <c r="F106" s="482">
        <f t="shared" si="1"/>
        <v>1.8771635173931283</v>
      </c>
      <c r="G106" s="481">
        <v>532.71864210781655</v>
      </c>
      <c r="H106" s="211" t="s">
        <v>168</v>
      </c>
      <c r="I106" s="211" t="s">
        <v>336</v>
      </c>
      <c r="J106" s="172" t="s">
        <v>96</v>
      </c>
      <c r="K106" s="172" t="s">
        <v>185</v>
      </c>
      <c r="L106" s="172" t="s">
        <v>113</v>
      </c>
      <c r="M106" s="172"/>
      <c r="N106" s="172"/>
    </row>
    <row r="107" spans="1:14" ht="15.6" hidden="1">
      <c r="A107" s="264">
        <v>46069</v>
      </c>
      <c r="B107" s="211" t="s">
        <v>324</v>
      </c>
      <c r="C107" s="363" t="s">
        <v>337</v>
      </c>
      <c r="D107" s="211" t="s">
        <v>98</v>
      </c>
      <c r="E107" s="344">
        <v>1000</v>
      </c>
      <c r="F107" s="482">
        <f t="shared" si="1"/>
        <v>1.8771635173931283</v>
      </c>
      <c r="G107" s="481">
        <v>532.71864210781655</v>
      </c>
      <c r="H107" s="211" t="s">
        <v>168</v>
      </c>
      <c r="I107" s="211" t="s">
        <v>336</v>
      </c>
      <c r="J107" s="172" t="s">
        <v>96</v>
      </c>
      <c r="K107" s="172" t="s">
        <v>185</v>
      </c>
      <c r="L107" s="172" t="s">
        <v>113</v>
      </c>
      <c r="M107" s="172"/>
      <c r="N107" s="172"/>
    </row>
    <row r="108" spans="1:14" ht="15.6" hidden="1">
      <c r="A108" s="264">
        <v>46069</v>
      </c>
      <c r="B108" s="211" t="s">
        <v>325</v>
      </c>
      <c r="C108" s="363" t="s">
        <v>337</v>
      </c>
      <c r="D108" s="211" t="s">
        <v>98</v>
      </c>
      <c r="E108" s="344">
        <v>1000</v>
      </c>
      <c r="F108" s="482">
        <f t="shared" si="1"/>
        <v>1.8771635173931283</v>
      </c>
      <c r="G108" s="481">
        <v>532.71864210781655</v>
      </c>
      <c r="H108" s="211" t="s">
        <v>168</v>
      </c>
      <c r="I108" s="211" t="s">
        <v>336</v>
      </c>
      <c r="J108" s="172" t="s">
        <v>96</v>
      </c>
      <c r="K108" s="172" t="s">
        <v>185</v>
      </c>
      <c r="L108" s="172" t="s">
        <v>113</v>
      </c>
      <c r="M108" s="172"/>
      <c r="N108" s="172"/>
    </row>
    <row r="109" spans="1:14" ht="15.6" hidden="1">
      <c r="A109" s="355">
        <v>46069</v>
      </c>
      <c r="B109" s="172" t="s">
        <v>241</v>
      </c>
      <c r="C109" s="172" t="s">
        <v>242</v>
      </c>
      <c r="D109" s="211" t="s">
        <v>98</v>
      </c>
      <c r="E109" s="483">
        <v>45050</v>
      </c>
      <c r="F109" s="482">
        <f t="shared" si="1"/>
        <v>84.566216458560433</v>
      </c>
      <c r="G109" s="481">
        <v>532.71864210781655</v>
      </c>
      <c r="H109" s="211" t="s">
        <v>168</v>
      </c>
      <c r="I109" s="172" t="s">
        <v>248</v>
      </c>
      <c r="J109" s="172" t="s">
        <v>96</v>
      </c>
      <c r="K109" s="172" t="s">
        <v>185</v>
      </c>
      <c r="L109" s="172" t="s">
        <v>113</v>
      </c>
      <c r="M109" s="172"/>
      <c r="N109" s="172"/>
    </row>
    <row r="110" spans="1:14" ht="15.6" hidden="1">
      <c r="A110" s="484">
        <v>46069</v>
      </c>
      <c r="B110" s="485" t="s">
        <v>255</v>
      </c>
      <c r="C110" s="172" t="s">
        <v>104</v>
      </c>
      <c r="D110" s="172" t="s">
        <v>97</v>
      </c>
      <c r="E110" s="344">
        <v>200000</v>
      </c>
      <c r="F110" s="482">
        <f t="shared" si="1"/>
        <v>373.54564671771044</v>
      </c>
      <c r="G110" s="481">
        <v>535.40980000000002</v>
      </c>
      <c r="H110" s="211" t="s">
        <v>107</v>
      </c>
      <c r="I110" s="211" t="s">
        <v>282</v>
      </c>
      <c r="J110" s="172" t="s">
        <v>96</v>
      </c>
      <c r="K110" s="172" t="s">
        <v>345</v>
      </c>
      <c r="L110" s="172" t="s">
        <v>113</v>
      </c>
      <c r="M110" s="211"/>
      <c r="N110" s="211"/>
    </row>
    <row r="111" spans="1:14" ht="15.6" hidden="1">
      <c r="A111" s="484">
        <v>46069</v>
      </c>
      <c r="B111" s="485" t="s">
        <v>256</v>
      </c>
      <c r="C111" s="172" t="s">
        <v>104</v>
      </c>
      <c r="D111" s="489" t="s">
        <v>97</v>
      </c>
      <c r="E111" s="483">
        <v>365200</v>
      </c>
      <c r="F111" s="482">
        <f t="shared" si="1"/>
        <v>682.09435090653926</v>
      </c>
      <c r="G111" s="481">
        <v>535.40980000000002</v>
      </c>
      <c r="H111" s="211" t="s">
        <v>107</v>
      </c>
      <c r="I111" s="211" t="s">
        <v>283</v>
      </c>
      <c r="J111" s="172" t="s">
        <v>96</v>
      </c>
      <c r="K111" s="172" t="s">
        <v>345</v>
      </c>
      <c r="L111" s="172" t="s">
        <v>113</v>
      </c>
      <c r="M111" s="211"/>
      <c r="N111" s="211"/>
    </row>
    <row r="112" spans="1:14" ht="15.6" hidden="1">
      <c r="A112" s="484">
        <v>46069</v>
      </c>
      <c r="B112" s="485" t="s">
        <v>257</v>
      </c>
      <c r="C112" s="486" t="s">
        <v>104</v>
      </c>
      <c r="D112" s="490" t="s">
        <v>97</v>
      </c>
      <c r="E112" s="483">
        <v>365200</v>
      </c>
      <c r="F112" s="482">
        <f t="shared" si="1"/>
        <v>685.54011655197041</v>
      </c>
      <c r="G112" s="481">
        <v>532.71864210781655</v>
      </c>
      <c r="H112" s="211" t="s">
        <v>107</v>
      </c>
      <c r="I112" s="211" t="s">
        <v>284</v>
      </c>
      <c r="J112" s="172" t="s">
        <v>96</v>
      </c>
      <c r="K112" s="488" t="s">
        <v>185</v>
      </c>
      <c r="L112" s="172" t="s">
        <v>113</v>
      </c>
      <c r="M112" s="211"/>
      <c r="N112" s="211"/>
    </row>
    <row r="113" spans="1:14" ht="15.6" hidden="1">
      <c r="A113" s="484">
        <v>46069</v>
      </c>
      <c r="B113" s="491" t="s">
        <v>258</v>
      </c>
      <c r="C113" s="211" t="s">
        <v>104</v>
      </c>
      <c r="D113" s="211" t="s">
        <v>259</v>
      </c>
      <c r="E113" s="483">
        <v>225000</v>
      </c>
      <c r="F113" s="482">
        <f t="shared" si="1"/>
        <v>422.36179141345389</v>
      </c>
      <c r="G113" s="481">
        <v>532.71864210781655</v>
      </c>
      <c r="H113" s="211" t="s">
        <v>107</v>
      </c>
      <c r="I113" s="211" t="s">
        <v>285</v>
      </c>
      <c r="J113" s="172" t="s">
        <v>96</v>
      </c>
      <c r="K113" s="488" t="s">
        <v>185</v>
      </c>
      <c r="L113" s="172" t="s">
        <v>113</v>
      </c>
      <c r="M113" s="211"/>
      <c r="N113" s="211"/>
    </row>
    <row r="114" spans="1:14" ht="15.6" hidden="1">
      <c r="A114" s="484">
        <v>46069</v>
      </c>
      <c r="B114" s="491" t="s">
        <v>260</v>
      </c>
      <c r="C114" s="211" t="s">
        <v>104</v>
      </c>
      <c r="D114" s="211" t="s">
        <v>259</v>
      </c>
      <c r="E114" s="483">
        <v>225000</v>
      </c>
      <c r="F114" s="482">
        <f t="shared" si="1"/>
        <v>422.36179141345389</v>
      </c>
      <c r="G114" s="481">
        <v>532.71864210781655</v>
      </c>
      <c r="H114" s="211" t="s">
        <v>107</v>
      </c>
      <c r="I114" s="211" t="s">
        <v>286</v>
      </c>
      <c r="J114" s="172" t="s">
        <v>96</v>
      </c>
      <c r="K114" s="488" t="s">
        <v>185</v>
      </c>
      <c r="L114" s="172" t="s">
        <v>113</v>
      </c>
      <c r="M114" s="211"/>
      <c r="N114" s="211"/>
    </row>
    <row r="115" spans="1:14" ht="15.6" hidden="1">
      <c r="A115" s="484">
        <v>46069</v>
      </c>
      <c r="B115" s="491" t="s">
        <v>261</v>
      </c>
      <c r="C115" s="211" t="s">
        <v>104</v>
      </c>
      <c r="D115" s="211" t="s">
        <v>259</v>
      </c>
      <c r="E115" s="483">
        <v>225000</v>
      </c>
      <c r="F115" s="482">
        <f t="shared" si="1"/>
        <v>422.36179141345389</v>
      </c>
      <c r="G115" s="481">
        <v>532.71864210781655</v>
      </c>
      <c r="H115" s="211" t="s">
        <v>107</v>
      </c>
      <c r="I115" s="211" t="s">
        <v>287</v>
      </c>
      <c r="J115" s="172" t="s">
        <v>96</v>
      </c>
      <c r="K115" s="488" t="s">
        <v>185</v>
      </c>
      <c r="L115" s="172" t="s">
        <v>113</v>
      </c>
      <c r="M115" s="211"/>
      <c r="N115" s="211"/>
    </row>
    <row r="116" spans="1:14" ht="15.6" hidden="1">
      <c r="A116" s="492">
        <v>46069</v>
      </c>
      <c r="B116" s="485" t="s">
        <v>262</v>
      </c>
      <c r="C116" s="172" t="s">
        <v>104</v>
      </c>
      <c r="D116" s="172" t="s">
        <v>259</v>
      </c>
      <c r="E116" s="483">
        <v>370000</v>
      </c>
      <c r="F116" s="482">
        <f t="shared" si="1"/>
        <v>691.05944642776433</v>
      </c>
      <c r="G116" s="481">
        <v>535.40980000000002</v>
      </c>
      <c r="H116" s="211" t="s">
        <v>107</v>
      </c>
      <c r="I116" s="211" t="s">
        <v>288</v>
      </c>
      <c r="J116" s="172" t="s">
        <v>96</v>
      </c>
      <c r="K116" s="172" t="s">
        <v>345</v>
      </c>
      <c r="L116" s="172" t="s">
        <v>113</v>
      </c>
      <c r="M116" s="211"/>
      <c r="N116" s="211"/>
    </row>
    <row r="117" spans="1:14" ht="15.6" hidden="1">
      <c r="A117" s="484">
        <v>46069</v>
      </c>
      <c r="B117" s="491" t="s">
        <v>263</v>
      </c>
      <c r="C117" s="486" t="s">
        <v>104</v>
      </c>
      <c r="D117" s="493" t="s">
        <v>97</v>
      </c>
      <c r="E117" s="483">
        <v>552964</v>
      </c>
      <c r="F117" s="482">
        <f t="shared" si="1"/>
        <v>1032.7864749580601</v>
      </c>
      <c r="G117" s="481">
        <v>535.40980000000002</v>
      </c>
      <c r="H117" s="211" t="s">
        <v>107</v>
      </c>
      <c r="I117" s="211" t="s">
        <v>289</v>
      </c>
      <c r="J117" s="172" t="s">
        <v>96</v>
      </c>
      <c r="K117" s="172" t="s">
        <v>345</v>
      </c>
      <c r="L117" s="172" t="s">
        <v>113</v>
      </c>
      <c r="M117" s="211"/>
      <c r="N117" s="211"/>
    </row>
    <row r="118" spans="1:14" ht="15.6" hidden="1">
      <c r="A118" s="484">
        <v>46069</v>
      </c>
      <c r="B118" s="485" t="s">
        <v>264</v>
      </c>
      <c r="C118" s="172" t="s">
        <v>104</v>
      </c>
      <c r="D118" s="486" t="s">
        <v>97</v>
      </c>
      <c r="E118" s="483">
        <v>300000</v>
      </c>
      <c r="F118" s="482">
        <f t="shared" si="1"/>
        <v>560.31847007656563</v>
      </c>
      <c r="G118" s="481">
        <v>535.40980000000002</v>
      </c>
      <c r="H118" s="211" t="s">
        <v>107</v>
      </c>
      <c r="I118" s="211" t="s">
        <v>290</v>
      </c>
      <c r="J118" s="172" t="s">
        <v>96</v>
      </c>
      <c r="K118" s="172" t="s">
        <v>345</v>
      </c>
      <c r="L118" s="172" t="s">
        <v>113</v>
      </c>
      <c r="M118" s="211"/>
      <c r="N118" s="211"/>
    </row>
    <row r="119" spans="1:14" ht="15.6" hidden="1">
      <c r="A119" s="484">
        <v>46069</v>
      </c>
      <c r="B119" s="485" t="s">
        <v>265</v>
      </c>
      <c r="C119" s="172" t="s">
        <v>104</v>
      </c>
      <c r="D119" s="486" t="s">
        <v>100</v>
      </c>
      <c r="E119" s="483">
        <v>239410</v>
      </c>
      <c r="F119" s="482">
        <f t="shared" si="1"/>
        <v>447.15281640343528</v>
      </c>
      <c r="G119" s="481">
        <v>535.40980000000002</v>
      </c>
      <c r="H119" s="211" t="s">
        <v>107</v>
      </c>
      <c r="I119" s="211" t="s">
        <v>291</v>
      </c>
      <c r="J119" s="172" t="s">
        <v>96</v>
      </c>
      <c r="K119" s="172" t="s">
        <v>345</v>
      </c>
      <c r="L119" s="172" t="s">
        <v>113</v>
      </c>
      <c r="M119" s="211"/>
      <c r="N119" s="211"/>
    </row>
    <row r="120" spans="1:14" ht="15.6" hidden="1">
      <c r="A120" s="484">
        <v>46069</v>
      </c>
      <c r="B120" s="485" t="s">
        <v>266</v>
      </c>
      <c r="C120" s="486" t="s">
        <v>104</v>
      </c>
      <c r="D120" s="490" t="s">
        <v>99</v>
      </c>
      <c r="E120" s="483">
        <v>611000</v>
      </c>
      <c r="F120" s="482">
        <f t="shared" si="1"/>
        <v>1141.1819507226053</v>
      </c>
      <c r="G120" s="481">
        <v>535.40980000000002</v>
      </c>
      <c r="H120" s="211" t="s">
        <v>107</v>
      </c>
      <c r="I120" s="211" t="s">
        <v>292</v>
      </c>
      <c r="J120" s="172" t="s">
        <v>96</v>
      </c>
      <c r="K120" s="172" t="s">
        <v>345</v>
      </c>
      <c r="L120" s="172" t="s">
        <v>113</v>
      </c>
      <c r="M120" s="211"/>
      <c r="N120" s="211"/>
    </row>
    <row r="121" spans="1:14" ht="15.6" hidden="1">
      <c r="A121" s="484">
        <v>46069</v>
      </c>
      <c r="B121" s="485" t="s">
        <v>267</v>
      </c>
      <c r="C121" s="172" t="s">
        <v>104</v>
      </c>
      <c r="D121" s="172" t="s">
        <v>98</v>
      </c>
      <c r="E121" s="483">
        <v>230000</v>
      </c>
      <c r="F121" s="482">
        <f t="shared" si="1"/>
        <v>429.57749372536699</v>
      </c>
      <c r="G121" s="481">
        <v>535.40980000000002</v>
      </c>
      <c r="H121" s="211" t="s">
        <v>107</v>
      </c>
      <c r="I121" s="211" t="s">
        <v>293</v>
      </c>
      <c r="J121" s="172" t="s">
        <v>96</v>
      </c>
      <c r="K121" s="172" t="s">
        <v>345</v>
      </c>
      <c r="L121" s="172" t="s">
        <v>113</v>
      </c>
      <c r="M121" s="211"/>
      <c r="N121" s="211"/>
    </row>
    <row r="122" spans="1:14" ht="15.6" hidden="1">
      <c r="A122" s="492">
        <v>46069</v>
      </c>
      <c r="B122" s="494" t="s">
        <v>268</v>
      </c>
      <c r="C122" s="494" t="s">
        <v>104</v>
      </c>
      <c r="D122" s="494" t="s">
        <v>97</v>
      </c>
      <c r="E122" s="483">
        <v>384019</v>
      </c>
      <c r="F122" s="482">
        <f t="shared" si="1"/>
        <v>717.24312853444223</v>
      </c>
      <c r="G122" s="481">
        <v>535.40980000000002</v>
      </c>
      <c r="H122" s="211" t="s">
        <v>107</v>
      </c>
      <c r="I122" s="211" t="s">
        <v>294</v>
      </c>
      <c r="J122" s="172" t="s">
        <v>96</v>
      </c>
      <c r="K122" s="172" t="s">
        <v>345</v>
      </c>
      <c r="L122" s="172" t="s">
        <v>113</v>
      </c>
      <c r="M122" s="211"/>
      <c r="N122" s="211"/>
    </row>
    <row r="123" spans="1:14" ht="15.6" hidden="1">
      <c r="A123" s="484">
        <v>46069</v>
      </c>
      <c r="B123" s="495" t="s">
        <v>269</v>
      </c>
      <c r="C123" s="495" t="s">
        <v>104</v>
      </c>
      <c r="D123" s="495" t="s">
        <v>97</v>
      </c>
      <c r="E123" s="483">
        <v>192360</v>
      </c>
      <c r="F123" s="482">
        <f t="shared" si="1"/>
        <v>359.27620301309389</v>
      </c>
      <c r="G123" s="481">
        <v>535.40980000000002</v>
      </c>
      <c r="H123" s="211" t="s">
        <v>107</v>
      </c>
      <c r="I123" s="211" t="s">
        <v>295</v>
      </c>
      <c r="J123" s="172" t="s">
        <v>96</v>
      </c>
      <c r="K123" s="172" t="s">
        <v>345</v>
      </c>
      <c r="L123" s="172" t="s">
        <v>113</v>
      </c>
      <c r="M123" s="211"/>
      <c r="N123" s="211"/>
    </row>
    <row r="124" spans="1:14" ht="15.6" hidden="1">
      <c r="A124" s="484">
        <v>46069</v>
      </c>
      <c r="B124" s="495" t="s">
        <v>270</v>
      </c>
      <c r="C124" s="495" t="s">
        <v>104</v>
      </c>
      <c r="D124" s="495" t="s">
        <v>97</v>
      </c>
      <c r="E124" s="483">
        <v>118067</v>
      </c>
      <c r="F124" s="482">
        <f t="shared" si="1"/>
        <v>221.63106500805449</v>
      </c>
      <c r="G124" s="481">
        <v>532.71864210781655</v>
      </c>
      <c r="H124" s="211" t="s">
        <v>107</v>
      </c>
      <c r="I124" s="211" t="s">
        <v>296</v>
      </c>
      <c r="J124" s="172" t="s">
        <v>96</v>
      </c>
      <c r="K124" s="488" t="s">
        <v>185</v>
      </c>
      <c r="L124" s="172" t="s">
        <v>113</v>
      </c>
      <c r="M124" s="211"/>
      <c r="N124" s="211"/>
    </row>
    <row r="125" spans="1:14" ht="15.6" hidden="1">
      <c r="A125" s="484">
        <v>46069</v>
      </c>
      <c r="B125" s="495" t="s">
        <v>271</v>
      </c>
      <c r="C125" s="495" t="s">
        <v>104</v>
      </c>
      <c r="D125" s="495" t="s">
        <v>97</v>
      </c>
      <c r="E125" s="483">
        <v>159830</v>
      </c>
      <c r="F125" s="482">
        <f t="shared" si="1"/>
        <v>298.51900357445828</v>
      </c>
      <c r="G125" s="481">
        <v>535.40980000000002</v>
      </c>
      <c r="H125" s="211" t="s">
        <v>107</v>
      </c>
      <c r="I125" s="211" t="s">
        <v>297</v>
      </c>
      <c r="J125" s="172" t="s">
        <v>96</v>
      </c>
      <c r="K125" s="172" t="s">
        <v>345</v>
      </c>
      <c r="L125" s="172" t="s">
        <v>113</v>
      </c>
      <c r="M125" s="211"/>
      <c r="N125" s="211"/>
    </row>
    <row r="126" spans="1:14" ht="15.6" hidden="1">
      <c r="A126" s="484">
        <v>46069</v>
      </c>
      <c r="B126" s="495" t="s">
        <v>272</v>
      </c>
      <c r="C126" s="495" t="s">
        <v>104</v>
      </c>
      <c r="D126" s="495" t="s">
        <v>97</v>
      </c>
      <c r="E126" s="483">
        <v>159830</v>
      </c>
      <c r="F126" s="482">
        <f t="shared" si="1"/>
        <v>300.0270449849437</v>
      </c>
      <c r="G126" s="481">
        <v>532.71864210781655</v>
      </c>
      <c r="H126" s="211" t="s">
        <v>107</v>
      </c>
      <c r="I126" s="211" t="s">
        <v>298</v>
      </c>
      <c r="J126" s="172" t="s">
        <v>96</v>
      </c>
      <c r="K126" s="488" t="s">
        <v>185</v>
      </c>
      <c r="L126" s="172" t="s">
        <v>113</v>
      </c>
      <c r="M126" s="211"/>
      <c r="N126" s="211"/>
    </row>
    <row r="127" spans="1:14" ht="15.6" hidden="1">
      <c r="A127" s="484">
        <v>46069</v>
      </c>
      <c r="B127" s="495" t="s">
        <v>273</v>
      </c>
      <c r="C127" s="495" t="s">
        <v>104</v>
      </c>
      <c r="D127" s="495" t="s">
        <v>98</v>
      </c>
      <c r="E127" s="483">
        <v>139005</v>
      </c>
      <c r="F127" s="482">
        <f t="shared" si="1"/>
        <v>260.93511473523182</v>
      </c>
      <c r="G127" s="481">
        <v>532.71864210781655</v>
      </c>
      <c r="H127" s="211" t="s">
        <v>107</v>
      </c>
      <c r="I127" s="211" t="s">
        <v>299</v>
      </c>
      <c r="J127" s="172" t="s">
        <v>96</v>
      </c>
      <c r="K127" s="488" t="s">
        <v>185</v>
      </c>
      <c r="L127" s="172" t="s">
        <v>113</v>
      </c>
      <c r="M127" s="211"/>
      <c r="N127" s="211"/>
    </row>
    <row r="128" spans="1:14" ht="15.6" hidden="1">
      <c r="A128" s="492">
        <v>46069</v>
      </c>
      <c r="B128" s="494" t="s">
        <v>274</v>
      </c>
      <c r="C128" s="494" t="s">
        <v>104</v>
      </c>
      <c r="D128" s="494" t="s">
        <v>100</v>
      </c>
      <c r="E128" s="483">
        <v>142789</v>
      </c>
      <c r="F128" s="482">
        <f t="shared" si="1"/>
        <v>266.69104674587578</v>
      </c>
      <c r="G128" s="481">
        <v>535.40980000000002</v>
      </c>
      <c r="H128" s="211" t="s">
        <v>107</v>
      </c>
      <c r="I128" s="211" t="s">
        <v>300</v>
      </c>
      <c r="J128" s="172" t="s">
        <v>96</v>
      </c>
      <c r="K128" s="172" t="s">
        <v>345</v>
      </c>
      <c r="L128" s="172" t="s">
        <v>113</v>
      </c>
      <c r="M128" s="211"/>
      <c r="N128" s="211"/>
    </row>
    <row r="129" spans="1:14" ht="15.6" hidden="1">
      <c r="A129" s="484">
        <v>46069</v>
      </c>
      <c r="B129" s="494" t="s">
        <v>275</v>
      </c>
      <c r="C129" s="494" t="s">
        <v>130</v>
      </c>
      <c r="D129" s="494" t="s">
        <v>98</v>
      </c>
      <c r="E129" s="483">
        <v>260000</v>
      </c>
      <c r="F129" s="482">
        <f t="shared" si="1"/>
        <v>500.62487852927001</v>
      </c>
      <c r="G129" s="239">
        <v>519.35093749999999</v>
      </c>
      <c r="H129" s="211" t="s">
        <v>107</v>
      </c>
      <c r="I129" s="211" t="s">
        <v>301</v>
      </c>
      <c r="J129" s="172" t="s">
        <v>96</v>
      </c>
      <c r="K129" s="172" t="s">
        <v>344</v>
      </c>
      <c r="L129" s="172" t="s">
        <v>113</v>
      </c>
      <c r="M129" s="211"/>
      <c r="N129" s="211"/>
    </row>
    <row r="130" spans="1:14" ht="15.6" hidden="1">
      <c r="A130" s="484">
        <v>46069</v>
      </c>
      <c r="B130" s="494" t="s">
        <v>276</v>
      </c>
      <c r="C130" s="494" t="s">
        <v>103</v>
      </c>
      <c r="D130" s="494" t="s">
        <v>98</v>
      </c>
      <c r="E130" s="483">
        <v>500000</v>
      </c>
      <c r="F130" s="482">
        <f t="shared" ref="F130:F174" si="2">E130/G130</f>
        <v>962.74015101782697</v>
      </c>
      <c r="G130" s="239">
        <v>519.35093749999999</v>
      </c>
      <c r="H130" s="211" t="s">
        <v>107</v>
      </c>
      <c r="I130" s="211" t="s">
        <v>302</v>
      </c>
      <c r="J130" s="172" t="s">
        <v>96</v>
      </c>
      <c r="K130" s="172" t="s">
        <v>344</v>
      </c>
      <c r="L130" s="172" t="s">
        <v>113</v>
      </c>
      <c r="M130" s="211"/>
      <c r="N130" s="211"/>
    </row>
    <row r="131" spans="1:14" ht="15.6" hidden="1">
      <c r="A131" s="484">
        <v>46069</v>
      </c>
      <c r="B131" s="494" t="s">
        <v>277</v>
      </c>
      <c r="C131" s="494" t="s">
        <v>278</v>
      </c>
      <c r="D131" s="494" t="s">
        <v>98</v>
      </c>
      <c r="E131" s="483">
        <v>10665</v>
      </c>
      <c r="F131" s="482">
        <f t="shared" si="2"/>
        <v>20.019948912997712</v>
      </c>
      <c r="G131" s="481">
        <v>532.71864210781655</v>
      </c>
      <c r="H131" s="211" t="s">
        <v>107</v>
      </c>
      <c r="I131" s="211" t="s">
        <v>303</v>
      </c>
      <c r="J131" s="172" t="s">
        <v>96</v>
      </c>
      <c r="K131" s="172" t="s">
        <v>185</v>
      </c>
      <c r="L131" s="172" t="s">
        <v>113</v>
      </c>
      <c r="M131" s="211"/>
      <c r="N131" s="211"/>
    </row>
    <row r="132" spans="1:14" ht="15.6" hidden="1">
      <c r="A132" s="355">
        <v>46070</v>
      </c>
      <c r="B132" s="172" t="s">
        <v>186</v>
      </c>
      <c r="C132" s="363" t="s">
        <v>337</v>
      </c>
      <c r="D132" s="359" t="s">
        <v>99</v>
      </c>
      <c r="E132" s="172">
        <v>1000</v>
      </c>
      <c r="F132" s="482">
        <f t="shared" si="2"/>
        <v>1.9254803020356539</v>
      </c>
      <c r="G132" s="239">
        <v>519.35093749999999</v>
      </c>
      <c r="H132" s="360" t="s">
        <v>111</v>
      </c>
      <c r="I132" s="172" t="s">
        <v>318</v>
      </c>
      <c r="J132" s="172" t="s">
        <v>96</v>
      </c>
      <c r="K132" s="172" t="s">
        <v>344</v>
      </c>
      <c r="L132" s="172" t="s">
        <v>113</v>
      </c>
      <c r="M132" s="172"/>
      <c r="N132" s="172"/>
    </row>
    <row r="133" spans="1:14" ht="15.6" hidden="1">
      <c r="A133" s="355">
        <v>46070</v>
      </c>
      <c r="B133" s="172" t="s">
        <v>192</v>
      </c>
      <c r="C133" s="363" t="s">
        <v>337</v>
      </c>
      <c r="D133" s="359" t="s">
        <v>99</v>
      </c>
      <c r="E133" s="172">
        <v>1000</v>
      </c>
      <c r="F133" s="482">
        <f t="shared" si="2"/>
        <v>1.9254803020356539</v>
      </c>
      <c r="G133" s="239">
        <v>519.35093749999999</v>
      </c>
      <c r="H133" s="360" t="s">
        <v>111</v>
      </c>
      <c r="I133" s="172" t="s">
        <v>318</v>
      </c>
      <c r="J133" s="172" t="s">
        <v>96</v>
      </c>
      <c r="K133" s="172" t="s">
        <v>344</v>
      </c>
      <c r="L133" s="172" t="s">
        <v>113</v>
      </c>
      <c r="M133" s="211"/>
      <c r="N133" s="211"/>
    </row>
    <row r="134" spans="1:14" ht="15.6" hidden="1">
      <c r="A134" s="264">
        <v>46070</v>
      </c>
      <c r="B134" s="211" t="s">
        <v>326</v>
      </c>
      <c r="C134" s="363" t="s">
        <v>337</v>
      </c>
      <c r="D134" s="211" t="s">
        <v>98</v>
      </c>
      <c r="E134" s="344">
        <v>1000</v>
      </c>
      <c r="F134" s="482">
        <f t="shared" si="2"/>
        <v>1.9254803020356539</v>
      </c>
      <c r="G134" s="239">
        <v>519.35093749999999</v>
      </c>
      <c r="H134" s="211" t="s">
        <v>168</v>
      </c>
      <c r="I134" s="211" t="s">
        <v>336</v>
      </c>
      <c r="J134" s="172" t="s">
        <v>96</v>
      </c>
      <c r="K134" s="172" t="s">
        <v>344</v>
      </c>
      <c r="L134" s="172" t="s">
        <v>113</v>
      </c>
      <c r="M134" s="316"/>
      <c r="N134" s="316"/>
    </row>
    <row r="135" spans="1:14" ht="15.6" hidden="1">
      <c r="A135" s="264">
        <v>46070</v>
      </c>
      <c r="B135" s="211" t="s">
        <v>327</v>
      </c>
      <c r="C135" s="363" t="s">
        <v>337</v>
      </c>
      <c r="D135" s="211" t="s">
        <v>98</v>
      </c>
      <c r="E135" s="344">
        <v>1000</v>
      </c>
      <c r="F135" s="482">
        <f t="shared" si="2"/>
        <v>1.9254803020356539</v>
      </c>
      <c r="G135" s="239">
        <v>519.35093749999999</v>
      </c>
      <c r="H135" s="211" t="s">
        <v>168</v>
      </c>
      <c r="I135" s="211" t="s">
        <v>336</v>
      </c>
      <c r="J135" s="172" t="s">
        <v>96</v>
      </c>
      <c r="K135" s="172" t="s">
        <v>344</v>
      </c>
      <c r="L135" s="172" t="s">
        <v>113</v>
      </c>
      <c r="M135" s="316"/>
      <c r="N135" s="316"/>
    </row>
    <row r="136" spans="1:14" ht="15.6" hidden="1">
      <c r="A136" s="264">
        <v>46070</v>
      </c>
      <c r="B136" s="211" t="s">
        <v>328</v>
      </c>
      <c r="C136" s="363" t="s">
        <v>337</v>
      </c>
      <c r="D136" s="211" t="s">
        <v>98</v>
      </c>
      <c r="E136" s="344">
        <v>1000</v>
      </c>
      <c r="F136" s="482">
        <f t="shared" si="2"/>
        <v>1.9254803020356539</v>
      </c>
      <c r="G136" s="239">
        <v>519.35093749999999</v>
      </c>
      <c r="H136" s="211" t="s">
        <v>168</v>
      </c>
      <c r="I136" s="211" t="s">
        <v>336</v>
      </c>
      <c r="J136" s="172" t="s">
        <v>96</v>
      </c>
      <c r="K136" s="172" t="s">
        <v>344</v>
      </c>
      <c r="L136" s="172" t="s">
        <v>113</v>
      </c>
      <c r="M136" s="316"/>
      <c r="N136" s="316"/>
    </row>
    <row r="137" spans="1:14" ht="15.6" hidden="1">
      <c r="A137" s="264">
        <v>46070</v>
      </c>
      <c r="B137" s="211" t="s">
        <v>329</v>
      </c>
      <c r="C137" s="363" t="s">
        <v>337</v>
      </c>
      <c r="D137" s="211" t="s">
        <v>98</v>
      </c>
      <c r="E137" s="344">
        <v>1000</v>
      </c>
      <c r="F137" s="482">
        <f t="shared" si="2"/>
        <v>1.9254803020356539</v>
      </c>
      <c r="G137" s="239">
        <v>519.35093749999999</v>
      </c>
      <c r="H137" s="211" t="s">
        <v>168</v>
      </c>
      <c r="I137" s="211" t="s">
        <v>336</v>
      </c>
      <c r="J137" s="172" t="s">
        <v>96</v>
      </c>
      <c r="K137" s="172" t="s">
        <v>344</v>
      </c>
      <c r="L137" s="172" t="s">
        <v>113</v>
      </c>
      <c r="M137" s="316"/>
      <c r="N137" s="316"/>
    </row>
    <row r="138" spans="1:14" ht="15.6" hidden="1">
      <c r="A138" s="355">
        <v>46070</v>
      </c>
      <c r="B138" s="211" t="s">
        <v>243</v>
      </c>
      <c r="C138" s="211" t="s">
        <v>120</v>
      </c>
      <c r="D138" s="211" t="s">
        <v>98</v>
      </c>
      <c r="E138" s="483">
        <v>62500</v>
      </c>
      <c r="F138" s="482">
        <f t="shared" si="2"/>
        <v>117.32271983707052</v>
      </c>
      <c r="G138" s="481">
        <v>532.71864210781655</v>
      </c>
      <c r="H138" s="211" t="s">
        <v>168</v>
      </c>
      <c r="I138" s="172" t="s">
        <v>249</v>
      </c>
      <c r="J138" s="172" t="s">
        <v>96</v>
      </c>
      <c r="K138" s="172" t="s">
        <v>185</v>
      </c>
      <c r="L138" s="172" t="s">
        <v>113</v>
      </c>
      <c r="M138" s="316"/>
      <c r="N138" s="316"/>
    </row>
    <row r="139" spans="1:14" ht="15.6" hidden="1">
      <c r="A139" s="355">
        <v>46071</v>
      </c>
      <c r="B139" s="172" t="s">
        <v>186</v>
      </c>
      <c r="C139" s="363" t="s">
        <v>337</v>
      </c>
      <c r="D139" s="359" t="s">
        <v>99</v>
      </c>
      <c r="E139" s="172">
        <v>1000</v>
      </c>
      <c r="F139" s="482">
        <f t="shared" si="2"/>
        <v>1.9254803020356539</v>
      </c>
      <c r="G139" s="239">
        <v>519.35093749999999</v>
      </c>
      <c r="H139" s="360" t="s">
        <v>111</v>
      </c>
      <c r="I139" s="172" t="s">
        <v>318</v>
      </c>
      <c r="J139" s="172" t="s">
        <v>96</v>
      </c>
      <c r="K139" s="172" t="s">
        <v>344</v>
      </c>
      <c r="L139" s="172" t="s">
        <v>113</v>
      </c>
      <c r="M139" s="496"/>
      <c r="N139" s="496"/>
    </row>
    <row r="140" spans="1:14" ht="15.6" hidden="1">
      <c r="A140" s="355">
        <v>46071</v>
      </c>
      <c r="B140" s="172" t="s">
        <v>188</v>
      </c>
      <c r="C140" s="363" t="s">
        <v>337</v>
      </c>
      <c r="D140" s="359" t="s">
        <v>99</v>
      </c>
      <c r="E140" s="172">
        <v>1000</v>
      </c>
      <c r="F140" s="482">
        <f t="shared" si="2"/>
        <v>1.9254803020356539</v>
      </c>
      <c r="G140" s="239">
        <v>519.35093749999999</v>
      </c>
      <c r="H140" s="360" t="s">
        <v>111</v>
      </c>
      <c r="I140" s="172" t="s">
        <v>318</v>
      </c>
      <c r="J140" s="172" t="s">
        <v>96</v>
      </c>
      <c r="K140" s="172" t="s">
        <v>344</v>
      </c>
      <c r="L140" s="172" t="s">
        <v>113</v>
      </c>
      <c r="M140" s="496"/>
      <c r="N140" s="496"/>
    </row>
    <row r="141" spans="1:14" ht="15.6" hidden="1">
      <c r="A141" s="355">
        <v>46072</v>
      </c>
      <c r="B141" s="172" t="s">
        <v>187</v>
      </c>
      <c r="C141" s="363" t="s">
        <v>337</v>
      </c>
      <c r="D141" s="359" t="s">
        <v>99</v>
      </c>
      <c r="E141" s="172">
        <v>1000</v>
      </c>
      <c r="F141" s="482">
        <f t="shared" si="2"/>
        <v>1.9254803020356539</v>
      </c>
      <c r="G141" s="239">
        <v>519.35093749999999</v>
      </c>
      <c r="H141" s="360" t="s">
        <v>111</v>
      </c>
      <c r="I141" s="172" t="s">
        <v>318</v>
      </c>
      <c r="J141" s="172" t="s">
        <v>96</v>
      </c>
      <c r="K141" s="172" t="s">
        <v>344</v>
      </c>
      <c r="L141" s="172" t="s">
        <v>113</v>
      </c>
      <c r="M141" s="496"/>
      <c r="N141" s="496"/>
    </row>
    <row r="142" spans="1:14" ht="15.6" hidden="1">
      <c r="A142" s="355">
        <v>46072</v>
      </c>
      <c r="B142" s="172" t="s">
        <v>306</v>
      </c>
      <c r="C142" s="363" t="s">
        <v>337</v>
      </c>
      <c r="D142" s="359" t="s">
        <v>99</v>
      </c>
      <c r="E142" s="172">
        <v>1000</v>
      </c>
      <c r="F142" s="482">
        <f t="shared" si="2"/>
        <v>1.9254803020356539</v>
      </c>
      <c r="G142" s="239">
        <v>519.35093749999999</v>
      </c>
      <c r="H142" s="360" t="s">
        <v>111</v>
      </c>
      <c r="I142" s="172" t="s">
        <v>318</v>
      </c>
      <c r="J142" s="172" t="s">
        <v>96</v>
      </c>
      <c r="K142" s="172" t="s">
        <v>344</v>
      </c>
      <c r="L142" s="172" t="s">
        <v>113</v>
      </c>
      <c r="M142" s="496"/>
      <c r="N142" s="496"/>
    </row>
    <row r="143" spans="1:14" ht="15.6" hidden="1">
      <c r="A143" s="264">
        <v>46072</v>
      </c>
      <c r="B143" s="211" t="s">
        <v>330</v>
      </c>
      <c r="C143" s="363" t="s">
        <v>337</v>
      </c>
      <c r="D143" s="211" t="s">
        <v>98</v>
      </c>
      <c r="E143" s="344">
        <v>1000</v>
      </c>
      <c r="F143" s="482">
        <f t="shared" si="2"/>
        <v>1.9254803020356539</v>
      </c>
      <c r="G143" s="239">
        <v>519.35093749999999</v>
      </c>
      <c r="H143" s="211" t="s">
        <v>168</v>
      </c>
      <c r="I143" s="211" t="s">
        <v>336</v>
      </c>
      <c r="J143" s="172" t="s">
        <v>96</v>
      </c>
      <c r="K143" s="172" t="s">
        <v>344</v>
      </c>
      <c r="L143" s="172" t="s">
        <v>113</v>
      </c>
      <c r="M143" s="316"/>
      <c r="N143" s="316"/>
    </row>
    <row r="144" spans="1:14" ht="15.6" hidden="1">
      <c r="A144" s="264">
        <v>46072</v>
      </c>
      <c r="B144" s="211" t="s">
        <v>331</v>
      </c>
      <c r="C144" s="363" t="s">
        <v>337</v>
      </c>
      <c r="D144" s="211" t="s">
        <v>98</v>
      </c>
      <c r="E144" s="344">
        <v>1000</v>
      </c>
      <c r="F144" s="482">
        <f t="shared" si="2"/>
        <v>1.9254803020356539</v>
      </c>
      <c r="G144" s="239">
        <v>519.35093749999999</v>
      </c>
      <c r="H144" s="211" t="s">
        <v>168</v>
      </c>
      <c r="I144" s="211" t="s">
        <v>336</v>
      </c>
      <c r="J144" s="172" t="s">
        <v>96</v>
      </c>
      <c r="K144" s="172" t="s">
        <v>344</v>
      </c>
      <c r="L144" s="172" t="s">
        <v>113</v>
      </c>
      <c r="M144" s="316"/>
      <c r="N144" s="316"/>
    </row>
    <row r="145" spans="1:14" ht="15.6" hidden="1">
      <c r="A145" s="355">
        <v>46072</v>
      </c>
      <c r="B145" s="172" t="s">
        <v>244</v>
      </c>
      <c r="C145" s="172" t="s">
        <v>120</v>
      </c>
      <c r="D145" s="211" t="s">
        <v>98</v>
      </c>
      <c r="E145" s="483">
        <v>300000</v>
      </c>
      <c r="F145" s="482">
        <f t="shared" si="2"/>
        <v>577.64409061069614</v>
      </c>
      <c r="G145" s="239">
        <v>519.35093749999999</v>
      </c>
      <c r="H145" s="211" t="s">
        <v>168</v>
      </c>
      <c r="I145" s="172" t="s">
        <v>250</v>
      </c>
      <c r="J145" s="172" t="s">
        <v>96</v>
      </c>
      <c r="K145" s="172" t="s">
        <v>344</v>
      </c>
      <c r="L145" s="172" t="s">
        <v>113</v>
      </c>
      <c r="M145" s="316"/>
      <c r="N145" s="316"/>
    </row>
    <row r="146" spans="1:14" ht="15.6" hidden="1">
      <c r="A146" s="355">
        <v>46073</v>
      </c>
      <c r="B146" s="172" t="s">
        <v>188</v>
      </c>
      <c r="C146" s="363" t="s">
        <v>337</v>
      </c>
      <c r="D146" s="359" t="s">
        <v>99</v>
      </c>
      <c r="E146" s="172">
        <v>1000</v>
      </c>
      <c r="F146" s="482">
        <f t="shared" si="2"/>
        <v>1.9254803020356539</v>
      </c>
      <c r="G146" s="239">
        <v>519.35093749999999</v>
      </c>
      <c r="H146" s="360" t="s">
        <v>111</v>
      </c>
      <c r="I146" s="172" t="s">
        <v>318</v>
      </c>
      <c r="J146" s="172" t="s">
        <v>96</v>
      </c>
      <c r="K146" s="172" t="s">
        <v>344</v>
      </c>
      <c r="L146" s="172" t="s">
        <v>113</v>
      </c>
      <c r="M146" s="496"/>
      <c r="N146" s="496"/>
    </row>
    <row r="147" spans="1:14" ht="15.6" hidden="1">
      <c r="A147" s="355">
        <v>46073</v>
      </c>
      <c r="B147" s="172" t="s">
        <v>307</v>
      </c>
      <c r="C147" s="363" t="s">
        <v>337</v>
      </c>
      <c r="D147" s="359" t="s">
        <v>99</v>
      </c>
      <c r="E147" s="172">
        <v>1000</v>
      </c>
      <c r="F147" s="482">
        <f t="shared" si="2"/>
        <v>1.9254803020356539</v>
      </c>
      <c r="G147" s="239">
        <v>519.35093749999999</v>
      </c>
      <c r="H147" s="360" t="s">
        <v>111</v>
      </c>
      <c r="I147" s="172" t="s">
        <v>318</v>
      </c>
      <c r="J147" s="172" t="s">
        <v>96</v>
      </c>
      <c r="K147" s="172" t="s">
        <v>344</v>
      </c>
      <c r="L147" s="172" t="s">
        <v>113</v>
      </c>
      <c r="M147" s="496"/>
      <c r="N147" s="496"/>
    </row>
    <row r="148" spans="1:14" ht="15.6" hidden="1">
      <c r="A148" s="355">
        <v>46073</v>
      </c>
      <c r="B148" s="172" t="s">
        <v>312</v>
      </c>
      <c r="C148" s="363" t="s">
        <v>337</v>
      </c>
      <c r="D148" s="359" t="s">
        <v>99</v>
      </c>
      <c r="E148" s="172">
        <v>1000</v>
      </c>
      <c r="F148" s="482">
        <f t="shared" si="2"/>
        <v>1.9254803020356539</v>
      </c>
      <c r="G148" s="239">
        <v>519.35093749999999</v>
      </c>
      <c r="H148" s="360" t="s">
        <v>111</v>
      </c>
      <c r="I148" s="172" t="s">
        <v>318</v>
      </c>
      <c r="J148" s="172" t="s">
        <v>96</v>
      </c>
      <c r="K148" s="172" t="s">
        <v>344</v>
      </c>
      <c r="L148" s="172" t="s">
        <v>113</v>
      </c>
      <c r="M148" s="496"/>
      <c r="N148" s="496"/>
    </row>
    <row r="149" spans="1:14" ht="15.6" hidden="1">
      <c r="A149" s="355">
        <v>46073</v>
      </c>
      <c r="B149" s="172" t="s">
        <v>191</v>
      </c>
      <c r="C149" s="363" t="s">
        <v>337</v>
      </c>
      <c r="D149" s="359" t="s">
        <v>99</v>
      </c>
      <c r="E149" s="172">
        <v>1000</v>
      </c>
      <c r="F149" s="482">
        <f t="shared" si="2"/>
        <v>1.9254803020356539</v>
      </c>
      <c r="G149" s="239">
        <v>519.35093749999999</v>
      </c>
      <c r="H149" s="360" t="s">
        <v>111</v>
      </c>
      <c r="I149" s="172" t="s">
        <v>318</v>
      </c>
      <c r="J149" s="172" t="s">
        <v>96</v>
      </c>
      <c r="K149" s="172" t="s">
        <v>344</v>
      </c>
      <c r="L149" s="172" t="s">
        <v>113</v>
      </c>
      <c r="M149" s="496"/>
      <c r="N149" s="496"/>
    </row>
    <row r="150" spans="1:14" ht="15.6" hidden="1">
      <c r="A150" s="264">
        <v>46073</v>
      </c>
      <c r="B150" s="211" t="s">
        <v>332</v>
      </c>
      <c r="C150" s="363" t="s">
        <v>337</v>
      </c>
      <c r="D150" s="211" t="s">
        <v>98</v>
      </c>
      <c r="E150" s="344">
        <v>1000</v>
      </c>
      <c r="F150" s="482">
        <f t="shared" si="2"/>
        <v>1.9254803020356539</v>
      </c>
      <c r="G150" s="239">
        <v>519.35093749999999</v>
      </c>
      <c r="H150" s="211" t="s">
        <v>168</v>
      </c>
      <c r="I150" s="211" t="s">
        <v>336</v>
      </c>
      <c r="J150" s="172" t="s">
        <v>96</v>
      </c>
      <c r="K150" s="172" t="s">
        <v>344</v>
      </c>
      <c r="L150" s="172" t="s">
        <v>113</v>
      </c>
      <c r="M150" s="316"/>
      <c r="N150" s="316"/>
    </row>
    <row r="151" spans="1:14" ht="15.6" hidden="1">
      <c r="A151" s="264">
        <v>46073</v>
      </c>
      <c r="B151" s="211" t="s">
        <v>333</v>
      </c>
      <c r="C151" s="363" t="s">
        <v>337</v>
      </c>
      <c r="D151" s="211" t="s">
        <v>98</v>
      </c>
      <c r="E151" s="344">
        <v>1000</v>
      </c>
      <c r="F151" s="482">
        <f t="shared" si="2"/>
        <v>1.9254803020356539</v>
      </c>
      <c r="G151" s="239">
        <v>519.35093749999999</v>
      </c>
      <c r="H151" s="211" t="s">
        <v>168</v>
      </c>
      <c r="I151" s="211" t="s">
        <v>336</v>
      </c>
      <c r="J151" s="172" t="s">
        <v>96</v>
      </c>
      <c r="K151" s="172" t="s">
        <v>344</v>
      </c>
      <c r="L151" s="172" t="s">
        <v>113</v>
      </c>
      <c r="M151" s="316"/>
      <c r="N151" s="316"/>
    </row>
    <row r="152" spans="1:14" ht="15.6" hidden="1">
      <c r="A152" s="355">
        <v>46076</v>
      </c>
      <c r="B152" s="172" t="s">
        <v>188</v>
      </c>
      <c r="C152" s="363" t="s">
        <v>337</v>
      </c>
      <c r="D152" s="365" t="s">
        <v>99</v>
      </c>
      <c r="E152" s="172">
        <v>1000</v>
      </c>
      <c r="F152" s="482">
        <f t="shared" si="2"/>
        <v>1.9254803020356539</v>
      </c>
      <c r="G152" s="239">
        <v>519.35093749999999</v>
      </c>
      <c r="H152" s="360" t="s">
        <v>111</v>
      </c>
      <c r="I152" s="172" t="s">
        <v>318</v>
      </c>
      <c r="J152" s="172" t="s">
        <v>96</v>
      </c>
      <c r="K152" s="172" t="s">
        <v>344</v>
      </c>
      <c r="L152" s="172" t="s">
        <v>113</v>
      </c>
      <c r="M152" s="496"/>
      <c r="N152" s="496"/>
    </row>
    <row r="153" spans="1:14" ht="15.6" hidden="1">
      <c r="A153" s="355">
        <v>46076</v>
      </c>
      <c r="B153" s="172" t="s">
        <v>187</v>
      </c>
      <c r="C153" s="363" t="s">
        <v>337</v>
      </c>
      <c r="D153" s="359" t="s">
        <v>99</v>
      </c>
      <c r="E153" s="497">
        <v>1000</v>
      </c>
      <c r="F153" s="482">
        <f t="shared" si="2"/>
        <v>1.9254803020356539</v>
      </c>
      <c r="G153" s="239">
        <v>519.35093749999999</v>
      </c>
      <c r="H153" s="360" t="s">
        <v>111</v>
      </c>
      <c r="I153" s="172" t="s">
        <v>318</v>
      </c>
      <c r="J153" s="172" t="s">
        <v>96</v>
      </c>
      <c r="K153" s="172" t="s">
        <v>344</v>
      </c>
      <c r="L153" s="172" t="s">
        <v>113</v>
      </c>
      <c r="M153" s="498"/>
      <c r="N153" s="496"/>
    </row>
    <row r="154" spans="1:14" ht="15.6" hidden="1">
      <c r="A154" s="355">
        <v>46077</v>
      </c>
      <c r="B154" s="172" t="s">
        <v>188</v>
      </c>
      <c r="C154" s="363" t="s">
        <v>337</v>
      </c>
      <c r="D154" s="359" t="s">
        <v>99</v>
      </c>
      <c r="E154" s="497">
        <v>1000</v>
      </c>
      <c r="F154" s="482">
        <f t="shared" si="2"/>
        <v>1.9254803020356539</v>
      </c>
      <c r="G154" s="239">
        <v>519.35093749999999</v>
      </c>
      <c r="H154" s="360" t="s">
        <v>111</v>
      </c>
      <c r="I154" s="172" t="s">
        <v>318</v>
      </c>
      <c r="J154" s="172" t="s">
        <v>96</v>
      </c>
      <c r="K154" s="172" t="s">
        <v>344</v>
      </c>
      <c r="L154" s="172" t="s">
        <v>113</v>
      </c>
      <c r="M154" s="496"/>
      <c r="N154" s="496"/>
    </row>
    <row r="155" spans="1:14" ht="15.6" hidden="1">
      <c r="A155" s="355">
        <v>46077</v>
      </c>
      <c r="B155" s="172" t="s">
        <v>205</v>
      </c>
      <c r="C155" s="363" t="s">
        <v>337</v>
      </c>
      <c r="D155" s="359" t="s">
        <v>99</v>
      </c>
      <c r="E155" s="497">
        <v>1000</v>
      </c>
      <c r="F155" s="482">
        <f t="shared" si="2"/>
        <v>1.9254803020356539</v>
      </c>
      <c r="G155" s="239">
        <v>519.35093749999999</v>
      </c>
      <c r="H155" s="360" t="s">
        <v>111</v>
      </c>
      <c r="I155" s="172" t="s">
        <v>318</v>
      </c>
      <c r="J155" s="172" t="s">
        <v>96</v>
      </c>
      <c r="K155" s="172" t="s">
        <v>344</v>
      </c>
      <c r="L155" s="172" t="s">
        <v>113</v>
      </c>
      <c r="M155" s="496"/>
      <c r="N155" s="496"/>
    </row>
    <row r="156" spans="1:14" ht="15.6" hidden="1">
      <c r="A156" s="355">
        <v>46077</v>
      </c>
      <c r="B156" s="172" t="s">
        <v>315</v>
      </c>
      <c r="C156" s="363" t="s">
        <v>337</v>
      </c>
      <c r="D156" s="359" t="s">
        <v>99</v>
      </c>
      <c r="E156" s="497">
        <v>1000</v>
      </c>
      <c r="F156" s="482">
        <f t="shared" si="2"/>
        <v>1.9254803020356539</v>
      </c>
      <c r="G156" s="239">
        <v>519.35093749999999</v>
      </c>
      <c r="H156" s="360" t="s">
        <v>111</v>
      </c>
      <c r="I156" s="172" t="s">
        <v>318</v>
      </c>
      <c r="J156" s="172" t="s">
        <v>96</v>
      </c>
      <c r="K156" s="172" t="s">
        <v>344</v>
      </c>
      <c r="L156" s="172" t="s">
        <v>113</v>
      </c>
      <c r="M156" s="496"/>
      <c r="N156" s="496"/>
    </row>
    <row r="157" spans="1:14" ht="15.6" hidden="1">
      <c r="A157" s="355">
        <v>46077</v>
      </c>
      <c r="B157" s="172" t="s">
        <v>192</v>
      </c>
      <c r="C157" s="363" t="s">
        <v>337</v>
      </c>
      <c r="D157" s="359" t="s">
        <v>99</v>
      </c>
      <c r="E157" s="497">
        <v>1000</v>
      </c>
      <c r="F157" s="482">
        <f t="shared" si="2"/>
        <v>1.9254803020356539</v>
      </c>
      <c r="G157" s="239">
        <v>519.35093749999999</v>
      </c>
      <c r="H157" s="360" t="s">
        <v>111</v>
      </c>
      <c r="I157" s="172" t="s">
        <v>318</v>
      </c>
      <c r="J157" s="172" t="s">
        <v>96</v>
      </c>
      <c r="K157" s="172" t="s">
        <v>344</v>
      </c>
      <c r="L157" s="172" t="s">
        <v>113</v>
      </c>
      <c r="M157" s="496"/>
      <c r="N157" s="496"/>
    </row>
    <row r="158" spans="1:14" ht="15.6" hidden="1">
      <c r="A158" s="355">
        <v>46077</v>
      </c>
      <c r="B158" s="172" t="s">
        <v>245</v>
      </c>
      <c r="C158" s="211" t="s">
        <v>120</v>
      </c>
      <c r="D158" s="211" t="s">
        <v>98</v>
      </c>
      <c r="E158" s="499">
        <v>12000</v>
      </c>
      <c r="F158" s="482">
        <f t="shared" si="2"/>
        <v>23.105763624427848</v>
      </c>
      <c r="G158" s="239">
        <v>519.35093749999999</v>
      </c>
      <c r="H158" s="211" t="s">
        <v>124</v>
      </c>
      <c r="I158" s="211" t="s">
        <v>251</v>
      </c>
      <c r="J158" s="172" t="s">
        <v>96</v>
      </c>
      <c r="K158" s="172" t="s">
        <v>344</v>
      </c>
      <c r="L158" s="172" t="s">
        <v>113</v>
      </c>
      <c r="M158" s="316"/>
      <c r="N158" s="316"/>
    </row>
    <row r="159" spans="1:14" ht="15.6" hidden="1">
      <c r="A159" s="355">
        <v>46078</v>
      </c>
      <c r="B159" s="172" t="s">
        <v>188</v>
      </c>
      <c r="C159" s="363" t="s">
        <v>337</v>
      </c>
      <c r="D159" s="359" t="s">
        <v>99</v>
      </c>
      <c r="E159" s="497">
        <v>1000</v>
      </c>
      <c r="F159" s="482">
        <f t="shared" si="2"/>
        <v>1.9254803020356539</v>
      </c>
      <c r="G159" s="239">
        <v>519.35093749999999</v>
      </c>
      <c r="H159" s="360" t="s">
        <v>111</v>
      </c>
      <c r="I159" s="172" t="s">
        <v>318</v>
      </c>
      <c r="J159" s="172" t="s">
        <v>96</v>
      </c>
      <c r="K159" s="172" t="s">
        <v>344</v>
      </c>
      <c r="L159" s="172" t="s">
        <v>113</v>
      </c>
      <c r="M159" s="496"/>
      <c r="N159" s="496"/>
    </row>
    <row r="160" spans="1:14" ht="15.6" hidden="1">
      <c r="A160" s="355">
        <v>46078</v>
      </c>
      <c r="B160" s="172" t="s">
        <v>192</v>
      </c>
      <c r="C160" s="363" t="s">
        <v>337</v>
      </c>
      <c r="D160" s="359" t="s">
        <v>99</v>
      </c>
      <c r="E160" s="497">
        <v>1000</v>
      </c>
      <c r="F160" s="482">
        <f t="shared" si="2"/>
        <v>1.9254803020356539</v>
      </c>
      <c r="G160" s="239">
        <v>519.35093749999999</v>
      </c>
      <c r="H160" s="360" t="s">
        <v>111</v>
      </c>
      <c r="I160" s="172" t="s">
        <v>318</v>
      </c>
      <c r="J160" s="172" t="s">
        <v>96</v>
      </c>
      <c r="K160" s="172" t="s">
        <v>344</v>
      </c>
      <c r="L160" s="172" t="s">
        <v>113</v>
      </c>
      <c r="M160" s="496"/>
      <c r="N160" s="496"/>
    </row>
    <row r="161" spans="1:15" ht="15.6" hidden="1">
      <c r="A161" s="264">
        <v>46078</v>
      </c>
      <c r="B161" s="211" t="s">
        <v>334</v>
      </c>
      <c r="C161" s="363" t="s">
        <v>337</v>
      </c>
      <c r="D161" s="211" t="s">
        <v>98</v>
      </c>
      <c r="E161" s="500">
        <v>1000</v>
      </c>
      <c r="F161" s="482">
        <f t="shared" si="2"/>
        <v>1.9254803020356539</v>
      </c>
      <c r="G161" s="239">
        <v>519.35093749999999</v>
      </c>
      <c r="H161" s="211" t="s">
        <v>168</v>
      </c>
      <c r="I161" s="211" t="s">
        <v>336</v>
      </c>
      <c r="J161" s="172" t="s">
        <v>96</v>
      </c>
      <c r="K161" s="172" t="s">
        <v>344</v>
      </c>
      <c r="L161" s="172" t="s">
        <v>113</v>
      </c>
      <c r="M161" s="316"/>
      <c r="N161" s="316"/>
    </row>
    <row r="162" spans="1:15" ht="15.6" hidden="1">
      <c r="A162" s="264">
        <v>46078</v>
      </c>
      <c r="B162" s="211" t="s">
        <v>335</v>
      </c>
      <c r="C162" s="363" t="s">
        <v>337</v>
      </c>
      <c r="D162" s="211" t="s">
        <v>98</v>
      </c>
      <c r="E162" s="500">
        <v>1000</v>
      </c>
      <c r="F162" s="482">
        <f t="shared" si="2"/>
        <v>1.9254803020356539</v>
      </c>
      <c r="G162" s="239">
        <v>519.35093749999999</v>
      </c>
      <c r="H162" s="211" t="s">
        <v>168</v>
      </c>
      <c r="I162" s="211" t="s">
        <v>336</v>
      </c>
      <c r="J162" s="172" t="s">
        <v>96</v>
      </c>
      <c r="K162" s="172" t="s">
        <v>344</v>
      </c>
      <c r="L162" s="172" t="s">
        <v>113</v>
      </c>
      <c r="M162" s="316"/>
      <c r="N162" s="316"/>
    </row>
    <row r="163" spans="1:15" ht="15.6" hidden="1">
      <c r="A163" s="355">
        <v>46078</v>
      </c>
      <c r="B163" s="211" t="s">
        <v>246</v>
      </c>
      <c r="C163" s="172" t="s">
        <v>130</v>
      </c>
      <c r="D163" s="211" t="s">
        <v>98</v>
      </c>
      <c r="E163" s="499">
        <v>40000</v>
      </c>
      <c r="F163" s="482">
        <f t="shared" si="2"/>
        <v>75.086540695725134</v>
      </c>
      <c r="G163" s="481">
        <v>532.71864210781655</v>
      </c>
      <c r="H163" s="211" t="s">
        <v>168</v>
      </c>
      <c r="I163" s="172" t="s">
        <v>252</v>
      </c>
      <c r="J163" s="172" t="s">
        <v>96</v>
      </c>
      <c r="K163" s="172" t="s">
        <v>185</v>
      </c>
      <c r="L163" s="172" t="s">
        <v>113</v>
      </c>
      <c r="M163" s="316"/>
      <c r="N163" s="316"/>
    </row>
    <row r="164" spans="1:15" ht="15.6" hidden="1">
      <c r="A164" s="355">
        <v>46079</v>
      </c>
      <c r="B164" s="172" t="s">
        <v>306</v>
      </c>
      <c r="C164" s="363" t="s">
        <v>337</v>
      </c>
      <c r="D164" s="359" t="s">
        <v>99</v>
      </c>
      <c r="E164" s="497">
        <v>1000</v>
      </c>
      <c r="F164" s="482">
        <f t="shared" si="2"/>
        <v>1.9254803020356539</v>
      </c>
      <c r="G164" s="239">
        <v>519.35093749999999</v>
      </c>
      <c r="H164" s="360" t="s">
        <v>111</v>
      </c>
      <c r="I164" s="172" t="s">
        <v>318</v>
      </c>
      <c r="J164" s="172" t="s">
        <v>96</v>
      </c>
      <c r="K164" s="172" t="s">
        <v>344</v>
      </c>
      <c r="L164" s="172" t="s">
        <v>113</v>
      </c>
      <c r="M164" s="496"/>
      <c r="N164" s="496"/>
    </row>
    <row r="165" spans="1:15" ht="15.6" hidden="1">
      <c r="A165" s="355">
        <v>46079</v>
      </c>
      <c r="B165" s="172" t="s">
        <v>189</v>
      </c>
      <c r="C165" s="363" t="s">
        <v>337</v>
      </c>
      <c r="D165" s="359" t="s">
        <v>99</v>
      </c>
      <c r="E165" s="497">
        <v>1000</v>
      </c>
      <c r="F165" s="482">
        <f t="shared" si="2"/>
        <v>1.9254803020356539</v>
      </c>
      <c r="G165" s="239">
        <v>519.35093749999999</v>
      </c>
      <c r="H165" s="360" t="s">
        <v>111</v>
      </c>
      <c r="I165" s="172" t="s">
        <v>318</v>
      </c>
      <c r="J165" s="172" t="s">
        <v>96</v>
      </c>
      <c r="K165" s="172" t="s">
        <v>344</v>
      </c>
      <c r="L165" s="172" t="s">
        <v>113</v>
      </c>
      <c r="M165" s="496"/>
      <c r="N165" s="496"/>
    </row>
    <row r="166" spans="1:15" ht="15.6" hidden="1">
      <c r="A166" s="484">
        <v>46079</v>
      </c>
      <c r="B166" s="485" t="s">
        <v>342</v>
      </c>
      <c r="C166" s="172" t="s">
        <v>254</v>
      </c>
      <c r="D166" s="486"/>
      <c r="E166" s="500"/>
      <c r="F166" s="482">
        <f t="shared" si="2"/>
        <v>0</v>
      </c>
      <c r="G166" s="481">
        <v>524.80372990353703</v>
      </c>
      <c r="H166" s="211" t="s">
        <v>107</v>
      </c>
      <c r="I166" s="211" t="s">
        <v>304</v>
      </c>
      <c r="J166" s="172" t="s">
        <v>96</v>
      </c>
      <c r="K166" s="172" t="s">
        <v>340</v>
      </c>
      <c r="L166" s="172" t="s">
        <v>113</v>
      </c>
      <c r="M166" s="501">
        <v>1549972</v>
      </c>
      <c r="N166" s="316">
        <v>3000</v>
      </c>
    </row>
    <row r="167" spans="1:15" ht="15.6" hidden="1">
      <c r="A167" s="355">
        <v>46080</v>
      </c>
      <c r="B167" s="172" t="s">
        <v>316</v>
      </c>
      <c r="C167" s="363" t="s">
        <v>337</v>
      </c>
      <c r="D167" s="359" t="s">
        <v>99</v>
      </c>
      <c r="E167" s="497">
        <v>1000</v>
      </c>
      <c r="F167" s="482">
        <f t="shared" si="2"/>
        <v>1.9254803020356539</v>
      </c>
      <c r="G167" s="239">
        <v>519.35093749999999</v>
      </c>
      <c r="H167" s="360" t="s">
        <v>111</v>
      </c>
      <c r="I167" s="172" t="s">
        <v>318</v>
      </c>
      <c r="J167" s="172" t="s">
        <v>96</v>
      </c>
      <c r="K167" s="172" t="s">
        <v>344</v>
      </c>
      <c r="L167" s="172" t="s">
        <v>113</v>
      </c>
      <c r="M167" s="496"/>
      <c r="N167" s="496"/>
    </row>
    <row r="168" spans="1:15" ht="15.6" hidden="1">
      <c r="A168" s="355">
        <v>46080</v>
      </c>
      <c r="B168" s="172" t="s">
        <v>317</v>
      </c>
      <c r="C168" s="363" t="s">
        <v>337</v>
      </c>
      <c r="D168" s="359" t="s">
        <v>99</v>
      </c>
      <c r="E168" s="497">
        <v>1000</v>
      </c>
      <c r="F168" s="482">
        <f t="shared" si="2"/>
        <v>1.9254803020356539</v>
      </c>
      <c r="G168" s="239">
        <v>519.35093749999999</v>
      </c>
      <c r="H168" s="360" t="s">
        <v>111</v>
      </c>
      <c r="I168" s="172" t="s">
        <v>318</v>
      </c>
      <c r="J168" s="172" t="s">
        <v>96</v>
      </c>
      <c r="K168" s="172" t="s">
        <v>344</v>
      </c>
      <c r="L168" s="172" t="s">
        <v>113</v>
      </c>
      <c r="M168" s="496"/>
      <c r="N168" s="496"/>
    </row>
    <row r="169" spans="1:15" ht="15.6" hidden="1">
      <c r="A169" s="355">
        <v>46080</v>
      </c>
      <c r="B169" s="172" t="s">
        <v>193</v>
      </c>
      <c r="C169" s="363" t="s">
        <v>337</v>
      </c>
      <c r="D169" s="359" t="s">
        <v>99</v>
      </c>
      <c r="E169" s="497">
        <v>1000</v>
      </c>
      <c r="F169" s="482">
        <f t="shared" si="2"/>
        <v>1.9254803020356539</v>
      </c>
      <c r="G169" s="239">
        <v>519.35093749999999</v>
      </c>
      <c r="H169" s="360" t="s">
        <v>111</v>
      </c>
      <c r="I169" s="172" t="s">
        <v>318</v>
      </c>
      <c r="J169" s="172" t="s">
        <v>96</v>
      </c>
      <c r="K169" s="172" t="s">
        <v>344</v>
      </c>
      <c r="L169" s="172" t="s">
        <v>113</v>
      </c>
      <c r="M169" s="496"/>
      <c r="N169" s="496"/>
    </row>
    <row r="170" spans="1:15" ht="15.6" hidden="1">
      <c r="A170" s="355">
        <v>46080</v>
      </c>
      <c r="B170" s="172" t="s">
        <v>308</v>
      </c>
      <c r="C170" s="363" t="s">
        <v>337</v>
      </c>
      <c r="D170" s="365" t="s">
        <v>99</v>
      </c>
      <c r="E170" s="497">
        <v>1000</v>
      </c>
      <c r="F170" s="482">
        <f t="shared" si="2"/>
        <v>1.9254803020356539</v>
      </c>
      <c r="G170" s="239">
        <v>519.35093749999999</v>
      </c>
      <c r="H170" s="360" t="s">
        <v>111</v>
      </c>
      <c r="I170" s="172" t="s">
        <v>318</v>
      </c>
      <c r="J170" s="172" t="s">
        <v>96</v>
      </c>
      <c r="K170" s="172" t="s">
        <v>344</v>
      </c>
      <c r="L170" s="172" t="s">
        <v>113</v>
      </c>
      <c r="M170" s="496"/>
      <c r="N170" s="496"/>
    </row>
    <row r="171" spans="1:15" ht="15.6" hidden="1">
      <c r="A171" s="355">
        <v>46080</v>
      </c>
      <c r="B171" s="172" t="s">
        <v>192</v>
      </c>
      <c r="C171" s="363" t="s">
        <v>337</v>
      </c>
      <c r="D171" s="359" t="s">
        <v>99</v>
      </c>
      <c r="E171" s="497">
        <v>1000</v>
      </c>
      <c r="F171" s="482">
        <f t="shared" si="2"/>
        <v>1.9254803020356539</v>
      </c>
      <c r="G171" s="239">
        <v>519.35093749999999</v>
      </c>
      <c r="H171" s="360" t="s">
        <v>111</v>
      </c>
      <c r="I171" s="172" t="s">
        <v>318</v>
      </c>
      <c r="J171" s="172" t="s">
        <v>96</v>
      </c>
      <c r="K171" s="172" t="s">
        <v>344</v>
      </c>
      <c r="L171" s="172" t="s">
        <v>113</v>
      </c>
      <c r="M171" s="496"/>
      <c r="N171" s="496"/>
    </row>
    <row r="172" spans="1:15" ht="15.6" hidden="1">
      <c r="A172" s="264">
        <v>46080</v>
      </c>
      <c r="B172" s="211" t="s">
        <v>217</v>
      </c>
      <c r="C172" s="363" t="s">
        <v>337</v>
      </c>
      <c r="D172" s="211" t="s">
        <v>98</v>
      </c>
      <c r="E172" s="500">
        <v>1000</v>
      </c>
      <c r="F172" s="482">
        <f t="shared" si="2"/>
        <v>1.9254803020356539</v>
      </c>
      <c r="G172" s="239">
        <v>519.35093749999999</v>
      </c>
      <c r="H172" s="211" t="s">
        <v>168</v>
      </c>
      <c r="I172" s="211" t="s">
        <v>336</v>
      </c>
      <c r="J172" s="172" t="s">
        <v>96</v>
      </c>
      <c r="K172" s="172" t="s">
        <v>344</v>
      </c>
      <c r="L172" s="172" t="s">
        <v>113</v>
      </c>
      <c r="M172" s="316"/>
      <c r="N172" s="316"/>
    </row>
    <row r="173" spans="1:15" ht="15.6" hidden="1">
      <c r="A173" s="264">
        <v>46080</v>
      </c>
      <c r="B173" s="211" t="s">
        <v>197</v>
      </c>
      <c r="C173" s="363" t="s">
        <v>337</v>
      </c>
      <c r="D173" s="211" t="s">
        <v>98</v>
      </c>
      <c r="E173" s="500">
        <v>1000</v>
      </c>
      <c r="F173" s="482">
        <f t="shared" si="2"/>
        <v>1.9254803020356539</v>
      </c>
      <c r="G173" s="239">
        <v>519.35093749999999</v>
      </c>
      <c r="H173" s="211" t="s">
        <v>168</v>
      </c>
      <c r="I173" s="211" t="s">
        <v>336</v>
      </c>
      <c r="J173" s="172" t="s">
        <v>96</v>
      </c>
      <c r="K173" s="172" t="s">
        <v>344</v>
      </c>
      <c r="L173" s="172" t="s">
        <v>113</v>
      </c>
      <c r="M173" s="316"/>
      <c r="N173" s="316"/>
    </row>
    <row r="174" spans="1:15" ht="15.6" hidden="1">
      <c r="A174" s="355">
        <v>46080</v>
      </c>
      <c r="B174" s="211" t="s">
        <v>247</v>
      </c>
      <c r="C174" s="211" t="s">
        <v>103</v>
      </c>
      <c r="D174" s="211" t="s">
        <v>98</v>
      </c>
      <c r="E174" s="499">
        <v>4000</v>
      </c>
      <c r="F174" s="482">
        <f t="shared" si="2"/>
        <v>7.7019212081426156</v>
      </c>
      <c r="G174" s="239">
        <v>519.35093749999999</v>
      </c>
      <c r="H174" s="172" t="s">
        <v>168</v>
      </c>
      <c r="I174" s="172" t="s">
        <v>253</v>
      </c>
      <c r="J174" s="172" t="s">
        <v>96</v>
      </c>
      <c r="K174" s="172" t="s">
        <v>344</v>
      </c>
      <c r="L174" s="172" t="s">
        <v>113</v>
      </c>
      <c r="M174" s="316"/>
      <c r="N174" s="316"/>
    </row>
    <row r="175" spans="1:15" ht="15.6">
      <c r="A175" s="453">
        <v>46083</v>
      </c>
      <c r="B175" s="170" t="s">
        <v>186</v>
      </c>
      <c r="C175" s="170" t="s">
        <v>337</v>
      </c>
      <c r="D175" s="232" t="s">
        <v>99</v>
      </c>
      <c r="E175" s="170">
        <v>1000</v>
      </c>
      <c r="F175" s="454">
        <f t="shared" ref="F175:F222" si="3">E175/G175</f>
        <v>1.8771635173931283</v>
      </c>
      <c r="G175" s="239">
        <v>532.71864210781655</v>
      </c>
      <c r="H175" s="455" t="s">
        <v>111</v>
      </c>
      <c r="I175" s="170" t="s">
        <v>380</v>
      </c>
      <c r="J175" s="170" t="s">
        <v>96</v>
      </c>
      <c r="K175" s="170" t="s">
        <v>345</v>
      </c>
      <c r="L175" s="170" t="s">
        <v>113</v>
      </c>
      <c r="M175" s="362"/>
      <c r="N175" s="362"/>
      <c r="O175" s="247"/>
    </row>
    <row r="176" spans="1:15" ht="15.6">
      <c r="A176" s="453">
        <v>46083</v>
      </c>
      <c r="B176" s="456" t="s">
        <v>349</v>
      </c>
      <c r="C176" s="170" t="s">
        <v>110</v>
      </c>
      <c r="D176" s="232" t="s">
        <v>99</v>
      </c>
      <c r="E176" s="170">
        <v>10000</v>
      </c>
      <c r="F176" s="454">
        <f t="shared" si="3"/>
        <v>18.771635173931283</v>
      </c>
      <c r="G176" s="239">
        <v>532.71864210781655</v>
      </c>
      <c r="H176" s="455" t="s">
        <v>111</v>
      </c>
      <c r="I176" s="170" t="s">
        <v>382</v>
      </c>
      <c r="J176" s="170" t="s">
        <v>96</v>
      </c>
      <c r="K176" s="170" t="s">
        <v>345</v>
      </c>
      <c r="L176" s="170" t="s">
        <v>113</v>
      </c>
      <c r="M176" s="361"/>
      <c r="N176" s="361"/>
      <c r="O176" s="247"/>
    </row>
    <row r="177" spans="1:15" ht="15.6">
      <c r="A177" s="453">
        <v>46083</v>
      </c>
      <c r="B177" s="456" t="s">
        <v>350</v>
      </c>
      <c r="C177" s="170" t="s">
        <v>104</v>
      </c>
      <c r="D177" s="232" t="s">
        <v>99</v>
      </c>
      <c r="E177" s="170">
        <v>250000</v>
      </c>
      <c r="F177" s="454">
        <f t="shared" si="3"/>
        <v>469.29087934828209</v>
      </c>
      <c r="G177" s="239">
        <v>532.71864210781655</v>
      </c>
      <c r="H177" s="455" t="s">
        <v>111</v>
      </c>
      <c r="I177" s="170" t="s">
        <v>383</v>
      </c>
      <c r="J177" s="170" t="s">
        <v>96</v>
      </c>
      <c r="K177" s="170" t="s">
        <v>345</v>
      </c>
      <c r="L177" s="170" t="s">
        <v>113</v>
      </c>
      <c r="M177" s="361"/>
      <c r="N177" s="361"/>
      <c r="O177" s="247"/>
    </row>
    <row r="178" spans="1:15" ht="15.6">
      <c r="A178" s="457">
        <v>46083</v>
      </c>
      <c r="B178" s="242" t="s">
        <v>192</v>
      </c>
      <c r="C178" s="170" t="s">
        <v>337</v>
      </c>
      <c r="D178" s="458" t="s">
        <v>99</v>
      </c>
      <c r="E178" s="242">
        <v>1000</v>
      </c>
      <c r="F178" s="454">
        <f t="shared" si="3"/>
        <v>1.8771635173931283</v>
      </c>
      <c r="G178" s="239">
        <v>532.71864210781655</v>
      </c>
      <c r="H178" s="459" t="s">
        <v>111</v>
      </c>
      <c r="I178" s="170" t="s">
        <v>380</v>
      </c>
      <c r="J178" s="170" t="s">
        <v>96</v>
      </c>
      <c r="K178" s="170" t="s">
        <v>345</v>
      </c>
      <c r="L178" s="170" t="s">
        <v>113</v>
      </c>
      <c r="M178" s="361"/>
      <c r="N178" s="361"/>
      <c r="O178" s="247"/>
    </row>
    <row r="179" spans="1:15" ht="15.6">
      <c r="A179" s="461">
        <v>46083</v>
      </c>
      <c r="B179" s="462" t="s">
        <v>394</v>
      </c>
      <c r="C179" s="462" t="s">
        <v>110</v>
      </c>
      <c r="D179" s="463" t="s">
        <v>97</v>
      </c>
      <c r="E179" s="464">
        <v>7500</v>
      </c>
      <c r="F179" s="454">
        <f t="shared" si="3"/>
        <v>14.441102265267405</v>
      </c>
      <c r="G179" s="239">
        <v>519.35093749999999</v>
      </c>
      <c r="H179" s="165" t="s">
        <v>128</v>
      </c>
      <c r="I179" s="464" t="s">
        <v>425</v>
      </c>
      <c r="J179" s="170" t="s">
        <v>96</v>
      </c>
      <c r="K179" s="170" t="s">
        <v>345</v>
      </c>
      <c r="L179" s="170" t="s">
        <v>113</v>
      </c>
      <c r="M179" s="361"/>
      <c r="N179" s="361"/>
      <c r="O179" s="271"/>
    </row>
    <row r="180" spans="1:15" ht="15.6">
      <c r="A180" s="467">
        <v>46083</v>
      </c>
      <c r="B180" s="242" t="s">
        <v>196</v>
      </c>
      <c r="C180" s="170" t="s">
        <v>337</v>
      </c>
      <c r="D180" s="242" t="s">
        <v>98</v>
      </c>
      <c r="E180" s="298">
        <v>1000</v>
      </c>
      <c r="F180" s="454">
        <f t="shared" si="3"/>
        <v>1.867727535907062</v>
      </c>
      <c r="G180" s="239">
        <v>535.41</v>
      </c>
      <c r="H180" s="242" t="s">
        <v>168</v>
      </c>
      <c r="I180" s="242" t="s">
        <v>510</v>
      </c>
      <c r="J180" s="170" t="s">
        <v>96</v>
      </c>
      <c r="K180" s="170" t="s">
        <v>345</v>
      </c>
      <c r="L180" s="170" t="s">
        <v>113</v>
      </c>
      <c r="M180" s="75"/>
      <c r="N180" s="75"/>
      <c r="O180" s="75"/>
    </row>
    <row r="181" spans="1:15" ht="15.6">
      <c r="A181" s="467">
        <v>46083</v>
      </c>
      <c r="B181" s="242" t="s">
        <v>438</v>
      </c>
      <c r="C181" s="170" t="s">
        <v>337</v>
      </c>
      <c r="D181" s="242" t="s">
        <v>98</v>
      </c>
      <c r="E181" s="298">
        <v>1000</v>
      </c>
      <c r="F181" s="454">
        <f t="shared" si="3"/>
        <v>1.867727535907062</v>
      </c>
      <c r="G181" s="239">
        <v>535.41</v>
      </c>
      <c r="H181" s="242" t="s">
        <v>168</v>
      </c>
      <c r="I181" s="242" t="s">
        <v>510</v>
      </c>
      <c r="J181" s="170" t="s">
        <v>96</v>
      </c>
      <c r="K181" s="170" t="s">
        <v>345</v>
      </c>
      <c r="L181" s="170" t="s">
        <v>113</v>
      </c>
      <c r="M181" s="75"/>
      <c r="N181" s="75"/>
      <c r="O181" s="75"/>
    </row>
    <row r="182" spans="1:15" ht="15.6">
      <c r="A182" s="467">
        <v>46083</v>
      </c>
      <c r="B182" s="242" t="s">
        <v>439</v>
      </c>
      <c r="C182" s="170" t="s">
        <v>337</v>
      </c>
      <c r="D182" s="242" t="s">
        <v>98</v>
      </c>
      <c r="E182" s="298">
        <v>1000</v>
      </c>
      <c r="F182" s="454">
        <f t="shared" si="3"/>
        <v>1.867727535907062</v>
      </c>
      <c r="G182" s="239">
        <v>535.41</v>
      </c>
      <c r="H182" s="242" t="s">
        <v>168</v>
      </c>
      <c r="I182" s="242" t="s">
        <v>510</v>
      </c>
      <c r="J182" s="170" t="s">
        <v>96</v>
      </c>
      <c r="K182" s="170" t="s">
        <v>345</v>
      </c>
      <c r="L182" s="170" t="s">
        <v>113</v>
      </c>
      <c r="M182" s="75"/>
      <c r="N182" s="75"/>
      <c r="O182" s="75"/>
    </row>
    <row r="183" spans="1:15" ht="15.6">
      <c r="A183" s="467">
        <v>46083</v>
      </c>
      <c r="B183" s="242" t="s">
        <v>440</v>
      </c>
      <c r="C183" s="242" t="s">
        <v>110</v>
      </c>
      <c r="D183" s="242" t="s">
        <v>99</v>
      </c>
      <c r="E183" s="298">
        <v>5000</v>
      </c>
      <c r="F183" s="454">
        <f t="shared" si="3"/>
        <v>9.3386376795353101</v>
      </c>
      <c r="G183" s="239">
        <v>535.41</v>
      </c>
      <c r="H183" s="242" t="s">
        <v>168</v>
      </c>
      <c r="I183" s="242" t="s">
        <v>511</v>
      </c>
      <c r="J183" s="170" t="s">
        <v>96</v>
      </c>
      <c r="K183" s="170" t="s">
        <v>345</v>
      </c>
      <c r="L183" s="170" t="s">
        <v>113</v>
      </c>
      <c r="M183" s="75"/>
      <c r="N183" s="75"/>
      <c r="O183" s="75"/>
    </row>
    <row r="184" spans="1:15" ht="15.6">
      <c r="A184" s="457">
        <v>46083</v>
      </c>
      <c r="B184" s="242" t="s">
        <v>1023</v>
      </c>
      <c r="C184" s="170" t="s">
        <v>337</v>
      </c>
      <c r="D184" s="242" t="s">
        <v>259</v>
      </c>
      <c r="E184" s="242">
        <v>1000</v>
      </c>
      <c r="F184" s="454">
        <f t="shared" si="3"/>
        <v>1.867727535907062</v>
      </c>
      <c r="G184" s="239">
        <v>535.41</v>
      </c>
      <c r="H184" s="242" t="s">
        <v>122</v>
      </c>
      <c r="I184" s="242" t="s">
        <v>594</v>
      </c>
      <c r="J184" s="170" t="s">
        <v>96</v>
      </c>
      <c r="K184" s="170" t="s">
        <v>345</v>
      </c>
      <c r="L184" s="170" t="s">
        <v>113</v>
      </c>
      <c r="M184" s="75"/>
      <c r="N184" s="75"/>
      <c r="O184" s="75"/>
    </row>
    <row r="185" spans="1:15" ht="15.6">
      <c r="A185" s="457">
        <v>46083</v>
      </c>
      <c r="B185" s="165" t="s">
        <v>585</v>
      </c>
      <c r="C185" s="165" t="s">
        <v>110</v>
      </c>
      <c r="D185" s="242" t="s">
        <v>259</v>
      </c>
      <c r="E185" s="242">
        <v>7500</v>
      </c>
      <c r="F185" s="454">
        <f t="shared" si="3"/>
        <v>14.007956519302965</v>
      </c>
      <c r="G185" s="239">
        <v>535.41</v>
      </c>
      <c r="H185" s="242" t="s">
        <v>122</v>
      </c>
      <c r="I185" s="242" t="s">
        <v>595</v>
      </c>
      <c r="J185" s="170" t="s">
        <v>96</v>
      </c>
      <c r="K185" s="170" t="s">
        <v>345</v>
      </c>
      <c r="L185" s="170" t="s">
        <v>113</v>
      </c>
      <c r="M185" s="75"/>
      <c r="N185" s="75"/>
      <c r="O185" s="75"/>
    </row>
    <row r="186" spans="1:15" ht="15.6">
      <c r="A186" s="457">
        <v>46083</v>
      </c>
      <c r="B186" s="242" t="s">
        <v>1024</v>
      </c>
      <c r="C186" s="170" t="s">
        <v>337</v>
      </c>
      <c r="D186" s="242" t="s">
        <v>259</v>
      </c>
      <c r="E186" s="242">
        <v>1000</v>
      </c>
      <c r="F186" s="454">
        <f t="shared" si="3"/>
        <v>1.867727535907062</v>
      </c>
      <c r="G186" s="239">
        <v>535.41</v>
      </c>
      <c r="H186" s="242" t="s">
        <v>122</v>
      </c>
      <c r="I186" s="242" t="s">
        <v>594</v>
      </c>
      <c r="J186" s="170" t="s">
        <v>96</v>
      </c>
      <c r="K186" s="170" t="s">
        <v>345</v>
      </c>
      <c r="L186" s="170" t="s">
        <v>113</v>
      </c>
      <c r="M186" s="75"/>
      <c r="N186" s="75"/>
      <c r="O186" s="75"/>
    </row>
    <row r="187" spans="1:15" ht="15.6">
      <c r="A187" s="457">
        <v>46083</v>
      </c>
      <c r="B187" s="242" t="s">
        <v>1025</v>
      </c>
      <c r="C187" s="170" t="s">
        <v>337</v>
      </c>
      <c r="D187" s="242" t="s">
        <v>259</v>
      </c>
      <c r="E187" s="242">
        <v>1000</v>
      </c>
      <c r="F187" s="454">
        <f t="shared" si="3"/>
        <v>1.867727535907062</v>
      </c>
      <c r="G187" s="239">
        <v>535.41</v>
      </c>
      <c r="H187" s="242" t="s">
        <v>122</v>
      </c>
      <c r="I187" s="242" t="s">
        <v>594</v>
      </c>
      <c r="J187" s="170" t="s">
        <v>96</v>
      </c>
      <c r="K187" s="170" t="s">
        <v>345</v>
      </c>
      <c r="L187" s="170" t="s">
        <v>113</v>
      </c>
      <c r="M187" s="75"/>
      <c r="N187" s="75"/>
      <c r="O187" s="75"/>
    </row>
    <row r="188" spans="1:15" ht="15.6">
      <c r="A188" s="457">
        <v>46083</v>
      </c>
      <c r="B188" s="242" t="s">
        <v>1025</v>
      </c>
      <c r="C188" s="170" t="s">
        <v>337</v>
      </c>
      <c r="D188" s="242" t="s">
        <v>259</v>
      </c>
      <c r="E188" s="242">
        <v>1000</v>
      </c>
      <c r="F188" s="454">
        <f t="shared" si="3"/>
        <v>1.867727535907062</v>
      </c>
      <c r="G188" s="239">
        <v>535.41</v>
      </c>
      <c r="H188" s="242" t="s">
        <v>122</v>
      </c>
      <c r="I188" s="242" t="s">
        <v>594</v>
      </c>
      <c r="J188" s="170" t="s">
        <v>96</v>
      </c>
      <c r="K188" s="170" t="s">
        <v>345</v>
      </c>
      <c r="L188" s="170" t="s">
        <v>113</v>
      </c>
      <c r="M188" s="75"/>
      <c r="N188" s="75"/>
      <c r="O188" s="75"/>
    </row>
    <row r="189" spans="1:15" ht="15.6">
      <c r="A189" s="457">
        <v>46083</v>
      </c>
      <c r="B189" s="242" t="s">
        <v>540</v>
      </c>
      <c r="C189" s="242" t="s">
        <v>541</v>
      </c>
      <c r="D189" s="242" t="s">
        <v>259</v>
      </c>
      <c r="E189" s="242">
        <v>2000</v>
      </c>
      <c r="F189" s="454">
        <f t="shared" si="3"/>
        <v>3.735455071814124</v>
      </c>
      <c r="G189" s="239">
        <v>535.41</v>
      </c>
      <c r="H189" s="242" t="s">
        <v>122</v>
      </c>
      <c r="I189" s="242" t="s">
        <v>596</v>
      </c>
      <c r="J189" s="170" t="s">
        <v>96</v>
      </c>
      <c r="K189" s="170" t="s">
        <v>345</v>
      </c>
      <c r="L189" s="170" t="s">
        <v>113</v>
      </c>
      <c r="M189" s="75"/>
      <c r="N189" s="75"/>
      <c r="O189" s="75"/>
    </row>
    <row r="190" spans="1:15" ht="15.6">
      <c r="A190" s="457">
        <v>46083</v>
      </c>
      <c r="B190" s="242" t="s">
        <v>1026</v>
      </c>
      <c r="C190" s="242" t="s">
        <v>402</v>
      </c>
      <c r="D190" s="242" t="s">
        <v>259</v>
      </c>
      <c r="E190" s="242">
        <v>8000</v>
      </c>
      <c r="F190" s="454">
        <f t="shared" si="3"/>
        <v>14.941820287256496</v>
      </c>
      <c r="G190" s="239">
        <v>535.41</v>
      </c>
      <c r="H190" s="242" t="s">
        <v>122</v>
      </c>
      <c r="I190" s="242" t="s">
        <v>597</v>
      </c>
      <c r="J190" s="170" t="s">
        <v>96</v>
      </c>
      <c r="K190" s="170" t="s">
        <v>345</v>
      </c>
      <c r="L190" s="170" t="s">
        <v>113</v>
      </c>
      <c r="M190" s="75"/>
      <c r="N190" s="75"/>
      <c r="O190" s="75"/>
    </row>
    <row r="191" spans="1:15" ht="15.6">
      <c r="A191" s="457">
        <v>46083</v>
      </c>
      <c r="B191" s="242" t="s">
        <v>1046</v>
      </c>
      <c r="C191" s="242" t="s">
        <v>406</v>
      </c>
      <c r="D191" s="242" t="s">
        <v>259</v>
      </c>
      <c r="E191" s="242">
        <v>50000</v>
      </c>
      <c r="F191" s="454">
        <f t="shared" si="3"/>
        <v>93.386376795353101</v>
      </c>
      <c r="G191" s="239">
        <v>535.41</v>
      </c>
      <c r="H191" s="242" t="s">
        <v>122</v>
      </c>
      <c r="I191" s="242" t="s">
        <v>625</v>
      </c>
      <c r="J191" s="170" t="s">
        <v>96</v>
      </c>
      <c r="K191" s="170" t="s">
        <v>345</v>
      </c>
      <c r="L191" s="170" t="s">
        <v>113</v>
      </c>
      <c r="M191" s="75"/>
      <c r="N191" s="75"/>
      <c r="O191" s="75"/>
    </row>
    <row r="192" spans="1:15" ht="15.6">
      <c r="A192" s="457">
        <v>46083</v>
      </c>
      <c r="B192" s="242" t="s">
        <v>1025</v>
      </c>
      <c r="C192" s="170" t="s">
        <v>337</v>
      </c>
      <c r="D192" s="242" t="s">
        <v>259</v>
      </c>
      <c r="E192" s="242">
        <v>1000</v>
      </c>
      <c r="F192" s="454">
        <f t="shared" si="3"/>
        <v>1.867727535907062</v>
      </c>
      <c r="G192" s="239">
        <v>535.41</v>
      </c>
      <c r="H192" s="242" t="s">
        <v>122</v>
      </c>
      <c r="I192" s="242" t="s">
        <v>594</v>
      </c>
      <c r="J192" s="170" t="s">
        <v>96</v>
      </c>
      <c r="K192" s="170" t="s">
        <v>345</v>
      </c>
      <c r="L192" s="170" t="s">
        <v>113</v>
      </c>
      <c r="M192" s="75"/>
      <c r="N192" s="75"/>
      <c r="O192" s="75"/>
    </row>
    <row r="193" spans="1:15" ht="15.6">
      <c r="A193" s="457">
        <v>46083</v>
      </c>
      <c r="B193" s="242" t="s">
        <v>1027</v>
      </c>
      <c r="C193" s="170" t="s">
        <v>337</v>
      </c>
      <c r="D193" s="242" t="s">
        <v>259</v>
      </c>
      <c r="E193" s="242">
        <v>500</v>
      </c>
      <c r="F193" s="454">
        <f t="shared" si="3"/>
        <v>0.93386376795353099</v>
      </c>
      <c r="G193" s="239">
        <v>535.41</v>
      </c>
      <c r="H193" s="242" t="s">
        <v>122</v>
      </c>
      <c r="I193" s="242" t="s">
        <v>594</v>
      </c>
      <c r="J193" s="170" t="s">
        <v>96</v>
      </c>
      <c r="K193" s="170" t="s">
        <v>345</v>
      </c>
      <c r="L193" s="170" t="s">
        <v>113</v>
      </c>
      <c r="M193" s="75"/>
      <c r="N193" s="75"/>
      <c r="O193" s="75"/>
    </row>
    <row r="194" spans="1:15" ht="15.6">
      <c r="A194" s="457">
        <v>46083</v>
      </c>
      <c r="B194" s="242" t="s">
        <v>1027</v>
      </c>
      <c r="C194" s="170" t="s">
        <v>337</v>
      </c>
      <c r="D194" s="242" t="s">
        <v>259</v>
      </c>
      <c r="E194" s="242">
        <v>500</v>
      </c>
      <c r="F194" s="454">
        <f t="shared" si="3"/>
        <v>0.93386376795353099</v>
      </c>
      <c r="G194" s="239">
        <v>535.41</v>
      </c>
      <c r="H194" s="242" t="s">
        <v>122</v>
      </c>
      <c r="I194" s="242" t="s">
        <v>594</v>
      </c>
      <c r="J194" s="170" t="s">
        <v>96</v>
      </c>
      <c r="K194" s="170" t="s">
        <v>345</v>
      </c>
      <c r="L194" s="170" t="s">
        <v>113</v>
      </c>
      <c r="M194" s="75"/>
      <c r="N194" s="75"/>
      <c r="O194" s="75"/>
    </row>
    <row r="195" spans="1:15" ht="15.6">
      <c r="A195" s="457">
        <v>46083</v>
      </c>
      <c r="B195" s="242" t="s">
        <v>1027</v>
      </c>
      <c r="C195" s="170" t="s">
        <v>337</v>
      </c>
      <c r="D195" s="242" t="s">
        <v>259</v>
      </c>
      <c r="E195" s="242">
        <v>500</v>
      </c>
      <c r="F195" s="454">
        <f t="shared" si="3"/>
        <v>0.93386376795353099</v>
      </c>
      <c r="G195" s="239">
        <v>535.41</v>
      </c>
      <c r="H195" s="242" t="s">
        <v>122</v>
      </c>
      <c r="I195" s="242" t="s">
        <v>594</v>
      </c>
      <c r="J195" s="170" t="s">
        <v>96</v>
      </c>
      <c r="K195" s="170" t="s">
        <v>345</v>
      </c>
      <c r="L195" s="170" t="s">
        <v>113</v>
      </c>
      <c r="M195" s="75"/>
      <c r="N195" s="75"/>
      <c r="O195" s="75"/>
    </row>
    <row r="196" spans="1:15" ht="15.6">
      <c r="A196" s="457">
        <v>46083</v>
      </c>
      <c r="B196" s="242" t="s">
        <v>1025</v>
      </c>
      <c r="C196" s="170" t="s">
        <v>337</v>
      </c>
      <c r="D196" s="242" t="s">
        <v>259</v>
      </c>
      <c r="E196" s="242">
        <v>1000</v>
      </c>
      <c r="F196" s="454">
        <f t="shared" si="3"/>
        <v>1.867727535907062</v>
      </c>
      <c r="G196" s="239">
        <v>535.41</v>
      </c>
      <c r="H196" s="242" t="s">
        <v>131</v>
      </c>
      <c r="I196" s="242" t="s">
        <v>653</v>
      </c>
      <c r="J196" s="170" t="s">
        <v>96</v>
      </c>
      <c r="K196" s="170" t="s">
        <v>345</v>
      </c>
      <c r="L196" s="170" t="s">
        <v>113</v>
      </c>
      <c r="M196" s="75"/>
      <c r="N196" s="75"/>
      <c r="O196" s="75"/>
    </row>
    <row r="197" spans="1:15" ht="15.6">
      <c r="A197" s="453">
        <v>46083</v>
      </c>
      <c r="B197" s="170" t="s">
        <v>1028</v>
      </c>
      <c r="C197" s="242" t="s">
        <v>402</v>
      </c>
      <c r="D197" s="170" t="s">
        <v>259</v>
      </c>
      <c r="E197" s="170">
        <v>9000</v>
      </c>
      <c r="F197" s="454">
        <f t="shared" si="3"/>
        <v>16.809547823163559</v>
      </c>
      <c r="G197" s="239">
        <v>535.41</v>
      </c>
      <c r="H197" s="170" t="s">
        <v>131</v>
      </c>
      <c r="I197" s="170" t="s">
        <v>654</v>
      </c>
      <c r="J197" s="170" t="s">
        <v>96</v>
      </c>
      <c r="K197" s="170" t="s">
        <v>345</v>
      </c>
      <c r="L197" s="170" t="s">
        <v>113</v>
      </c>
      <c r="M197" s="75"/>
      <c r="N197" s="75"/>
      <c r="O197" s="75"/>
    </row>
    <row r="198" spans="1:15" ht="15.6">
      <c r="A198" s="457">
        <v>46083</v>
      </c>
      <c r="B198" s="242" t="s">
        <v>1025</v>
      </c>
      <c r="C198" s="170" t="s">
        <v>337</v>
      </c>
      <c r="D198" s="242" t="s">
        <v>259</v>
      </c>
      <c r="E198" s="242">
        <v>1000</v>
      </c>
      <c r="F198" s="454">
        <f t="shared" si="3"/>
        <v>1.867727535907062</v>
      </c>
      <c r="G198" s="239">
        <v>535.41</v>
      </c>
      <c r="H198" s="242" t="s">
        <v>131</v>
      </c>
      <c r="I198" s="242" t="s">
        <v>653</v>
      </c>
      <c r="J198" s="170" t="s">
        <v>96</v>
      </c>
      <c r="K198" s="170" t="s">
        <v>345</v>
      </c>
      <c r="L198" s="170" t="s">
        <v>113</v>
      </c>
      <c r="M198" s="75"/>
      <c r="N198" s="75"/>
      <c r="O198" s="75"/>
    </row>
    <row r="199" spans="1:15" ht="15.6">
      <c r="A199" s="457">
        <v>46083</v>
      </c>
      <c r="B199" s="242" t="s">
        <v>1029</v>
      </c>
      <c r="C199" s="170" t="s">
        <v>337</v>
      </c>
      <c r="D199" s="242" t="s">
        <v>259</v>
      </c>
      <c r="E199" s="242">
        <v>1000</v>
      </c>
      <c r="F199" s="454">
        <f t="shared" si="3"/>
        <v>1.867727535907062</v>
      </c>
      <c r="G199" s="239">
        <v>535.41</v>
      </c>
      <c r="H199" s="242" t="s">
        <v>131</v>
      </c>
      <c r="I199" s="242" t="s">
        <v>653</v>
      </c>
      <c r="J199" s="170" t="s">
        <v>96</v>
      </c>
      <c r="K199" s="170" t="s">
        <v>345</v>
      </c>
      <c r="L199" s="170" t="s">
        <v>113</v>
      </c>
      <c r="M199" s="75"/>
      <c r="N199" s="75"/>
      <c r="O199" s="75"/>
    </row>
    <row r="200" spans="1:15" ht="15.6">
      <c r="A200" s="457">
        <v>46083</v>
      </c>
      <c r="B200" s="242" t="s">
        <v>1025</v>
      </c>
      <c r="C200" s="170" t="s">
        <v>337</v>
      </c>
      <c r="D200" s="242" t="s">
        <v>259</v>
      </c>
      <c r="E200" s="242">
        <v>1500</v>
      </c>
      <c r="F200" s="454">
        <f t="shared" si="3"/>
        <v>2.8015913038605929</v>
      </c>
      <c r="G200" s="239">
        <v>535.41</v>
      </c>
      <c r="H200" s="242" t="s">
        <v>131</v>
      </c>
      <c r="I200" s="242" t="s">
        <v>653</v>
      </c>
      <c r="J200" s="170" t="s">
        <v>96</v>
      </c>
      <c r="K200" s="170" t="s">
        <v>345</v>
      </c>
      <c r="L200" s="170" t="s">
        <v>113</v>
      </c>
      <c r="M200" s="75"/>
      <c r="N200" s="75"/>
      <c r="O200" s="75"/>
    </row>
    <row r="201" spans="1:15" ht="15.6">
      <c r="A201" s="453">
        <v>46083</v>
      </c>
      <c r="B201" s="170" t="s">
        <v>646</v>
      </c>
      <c r="C201" s="170" t="s">
        <v>110</v>
      </c>
      <c r="D201" s="170" t="s">
        <v>259</v>
      </c>
      <c r="E201" s="170">
        <v>7500</v>
      </c>
      <c r="F201" s="454">
        <f t="shared" si="3"/>
        <v>14.007956519302965</v>
      </c>
      <c r="G201" s="239">
        <v>535.41</v>
      </c>
      <c r="H201" s="170" t="s">
        <v>131</v>
      </c>
      <c r="I201" s="170" t="s">
        <v>655</v>
      </c>
      <c r="J201" s="170" t="s">
        <v>96</v>
      </c>
      <c r="K201" s="170" t="s">
        <v>345</v>
      </c>
      <c r="L201" s="170" t="s">
        <v>113</v>
      </c>
      <c r="M201" s="75"/>
      <c r="N201" s="75"/>
      <c r="O201" s="75"/>
    </row>
    <row r="202" spans="1:15" ht="15.6">
      <c r="A202" s="450">
        <v>46083</v>
      </c>
      <c r="B202" s="243" t="s">
        <v>279</v>
      </c>
      <c r="C202" s="248" t="s">
        <v>280</v>
      </c>
      <c r="D202" s="249" t="s">
        <v>97</v>
      </c>
      <c r="E202" s="298">
        <v>150000</v>
      </c>
      <c r="F202" s="454">
        <f t="shared" si="3"/>
        <v>280.1591303860593</v>
      </c>
      <c r="G202" s="239">
        <v>535.41</v>
      </c>
      <c r="H202" s="242" t="s">
        <v>107</v>
      </c>
      <c r="I202" s="242" t="s">
        <v>949</v>
      </c>
      <c r="J202" s="170" t="s">
        <v>96</v>
      </c>
      <c r="K202" s="170" t="s">
        <v>345</v>
      </c>
      <c r="L202" s="170" t="s">
        <v>113</v>
      </c>
      <c r="M202" s="75"/>
      <c r="N202" s="75"/>
      <c r="O202" s="75"/>
    </row>
    <row r="203" spans="1:15" ht="15.6">
      <c r="A203" s="450">
        <v>46083</v>
      </c>
      <c r="B203" s="350" t="s">
        <v>1005</v>
      </c>
      <c r="C203" s="350" t="s">
        <v>103</v>
      </c>
      <c r="D203" s="350" t="s">
        <v>98</v>
      </c>
      <c r="E203" s="245">
        <v>500000</v>
      </c>
      <c r="F203" s="454">
        <f t="shared" si="3"/>
        <v>933.86376795353101</v>
      </c>
      <c r="G203" s="239">
        <v>535.41</v>
      </c>
      <c r="H203" s="242" t="s">
        <v>107</v>
      </c>
      <c r="I203" s="242" t="s">
        <v>950</v>
      </c>
      <c r="J203" s="170" t="s">
        <v>96</v>
      </c>
      <c r="K203" s="170" t="s">
        <v>345</v>
      </c>
      <c r="L203" s="170" t="s">
        <v>113</v>
      </c>
      <c r="M203" s="75"/>
      <c r="N203" s="75"/>
      <c r="O203" s="75"/>
    </row>
    <row r="204" spans="1:15" ht="15.6">
      <c r="A204" s="450">
        <v>46083</v>
      </c>
      <c r="B204" s="350" t="s">
        <v>1006</v>
      </c>
      <c r="C204" s="350" t="s">
        <v>130</v>
      </c>
      <c r="D204" s="350" t="s">
        <v>98</v>
      </c>
      <c r="E204" s="245">
        <v>260000</v>
      </c>
      <c r="F204" s="454">
        <f t="shared" si="3"/>
        <v>485.60915933583613</v>
      </c>
      <c r="G204" s="239">
        <v>535.41</v>
      </c>
      <c r="H204" s="242" t="s">
        <v>107</v>
      </c>
      <c r="I204" s="242" t="s">
        <v>951</v>
      </c>
      <c r="J204" s="170" t="s">
        <v>96</v>
      </c>
      <c r="K204" s="170" t="s">
        <v>345</v>
      </c>
      <c r="L204" s="170" t="s">
        <v>113</v>
      </c>
      <c r="M204" s="75"/>
      <c r="N204" s="75"/>
      <c r="O204" s="75"/>
    </row>
    <row r="205" spans="1:15" ht="15.6">
      <c r="A205" s="457">
        <v>46084</v>
      </c>
      <c r="B205" s="242" t="s">
        <v>186</v>
      </c>
      <c r="C205" s="170" t="s">
        <v>337</v>
      </c>
      <c r="D205" s="458" t="s">
        <v>99</v>
      </c>
      <c r="E205" s="242">
        <v>1000</v>
      </c>
      <c r="F205" s="454">
        <f t="shared" si="3"/>
        <v>1.8771635173931283</v>
      </c>
      <c r="G205" s="239">
        <v>532.71864210781655</v>
      </c>
      <c r="H205" s="459" t="s">
        <v>111</v>
      </c>
      <c r="I205" s="170" t="s">
        <v>380</v>
      </c>
      <c r="J205" s="170" t="s">
        <v>96</v>
      </c>
      <c r="K205" s="170" t="s">
        <v>345</v>
      </c>
      <c r="L205" s="170" t="s">
        <v>113</v>
      </c>
      <c r="M205" s="361"/>
      <c r="N205" s="361"/>
      <c r="O205" s="247"/>
    </row>
    <row r="206" spans="1:15" ht="15.6">
      <c r="A206" s="457">
        <v>46084</v>
      </c>
      <c r="B206" s="242" t="s">
        <v>351</v>
      </c>
      <c r="C206" s="170" t="s">
        <v>337</v>
      </c>
      <c r="D206" s="458" t="s">
        <v>99</v>
      </c>
      <c r="E206" s="242">
        <v>1000</v>
      </c>
      <c r="F206" s="454">
        <f t="shared" si="3"/>
        <v>1.8771635173931283</v>
      </c>
      <c r="G206" s="239">
        <v>532.71864210781655</v>
      </c>
      <c r="H206" s="459" t="s">
        <v>111</v>
      </c>
      <c r="I206" s="170" t="s">
        <v>380</v>
      </c>
      <c r="J206" s="170" t="s">
        <v>96</v>
      </c>
      <c r="K206" s="170" t="s">
        <v>345</v>
      </c>
      <c r="L206" s="170" t="s">
        <v>113</v>
      </c>
      <c r="M206" s="361"/>
      <c r="N206" s="361"/>
      <c r="O206" s="124"/>
    </row>
    <row r="207" spans="1:15" ht="15.6">
      <c r="A207" s="457">
        <v>46084</v>
      </c>
      <c r="B207" s="242" t="s">
        <v>352</v>
      </c>
      <c r="C207" s="170" t="s">
        <v>337</v>
      </c>
      <c r="D207" s="458" t="s">
        <v>99</v>
      </c>
      <c r="E207" s="242">
        <v>1000</v>
      </c>
      <c r="F207" s="454">
        <f t="shared" si="3"/>
        <v>1.8771635173931283</v>
      </c>
      <c r="G207" s="239">
        <v>532.71864210781655</v>
      </c>
      <c r="H207" s="459" t="s">
        <v>111</v>
      </c>
      <c r="I207" s="170" t="s">
        <v>380</v>
      </c>
      <c r="J207" s="170" t="s">
        <v>96</v>
      </c>
      <c r="K207" s="170" t="s">
        <v>345</v>
      </c>
      <c r="L207" s="170" t="s">
        <v>113</v>
      </c>
      <c r="M207" s="361"/>
      <c r="N207" s="361"/>
      <c r="O207" s="124"/>
    </row>
    <row r="208" spans="1:15" ht="15.6">
      <c r="A208" s="457">
        <v>46084</v>
      </c>
      <c r="B208" s="242" t="s">
        <v>187</v>
      </c>
      <c r="C208" s="170" t="s">
        <v>337</v>
      </c>
      <c r="D208" s="458" t="s">
        <v>99</v>
      </c>
      <c r="E208" s="242">
        <v>1000</v>
      </c>
      <c r="F208" s="454">
        <f t="shared" si="3"/>
        <v>1.8771635173931283</v>
      </c>
      <c r="G208" s="239">
        <v>532.71864210781655</v>
      </c>
      <c r="H208" s="459" t="s">
        <v>111</v>
      </c>
      <c r="I208" s="170" t="s">
        <v>380</v>
      </c>
      <c r="J208" s="170" t="s">
        <v>96</v>
      </c>
      <c r="K208" s="170" t="s">
        <v>345</v>
      </c>
      <c r="L208" s="170" t="s">
        <v>113</v>
      </c>
      <c r="M208" s="361"/>
      <c r="N208" s="361"/>
      <c r="O208" s="124"/>
    </row>
    <row r="209" spans="1:15" ht="15.6">
      <c r="A209" s="467">
        <v>46084</v>
      </c>
      <c r="B209" s="242" t="s">
        <v>441</v>
      </c>
      <c r="C209" s="170" t="s">
        <v>337</v>
      </c>
      <c r="D209" s="242" t="s">
        <v>98</v>
      </c>
      <c r="E209" s="298">
        <v>1000</v>
      </c>
      <c r="F209" s="454">
        <f t="shared" si="3"/>
        <v>1.867727535907062</v>
      </c>
      <c r="G209" s="239">
        <v>535.41</v>
      </c>
      <c r="H209" s="242" t="s">
        <v>168</v>
      </c>
      <c r="I209" s="242" t="s">
        <v>510</v>
      </c>
      <c r="J209" s="170" t="s">
        <v>96</v>
      </c>
      <c r="K209" s="170" t="s">
        <v>345</v>
      </c>
      <c r="L209" s="170" t="s">
        <v>113</v>
      </c>
      <c r="M209" s="75"/>
      <c r="N209" s="75"/>
      <c r="O209" s="75"/>
    </row>
    <row r="210" spans="1:15" ht="15.6">
      <c r="A210" s="467">
        <v>46084</v>
      </c>
      <c r="B210" s="242" t="s">
        <v>327</v>
      </c>
      <c r="C210" s="170" t="s">
        <v>337</v>
      </c>
      <c r="D210" s="242" t="s">
        <v>98</v>
      </c>
      <c r="E210" s="298">
        <v>1000</v>
      </c>
      <c r="F210" s="454">
        <f t="shared" si="3"/>
        <v>1.867727535907062</v>
      </c>
      <c r="G210" s="239">
        <v>535.41</v>
      </c>
      <c r="H210" s="242" t="s">
        <v>168</v>
      </c>
      <c r="I210" s="242" t="s">
        <v>510</v>
      </c>
      <c r="J210" s="170" t="s">
        <v>96</v>
      </c>
      <c r="K210" s="170" t="s">
        <v>345</v>
      </c>
      <c r="L210" s="170" t="s">
        <v>113</v>
      </c>
      <c r="M210" s="75"/>
      <c r="N210" s="75"/>
      <c r="O210" s="75"/>
    </row>
    <row r="211" spans="1:15" ht="15.6">
      <c r="A211" s="457">
        <v>46084</v>
      </c>
      <c r="B211" s="242" t="s">
        <v>1030</v>
      </c>
      <c r="C211" s="242" t="s">
        <v>542</v>
      </c>
      <c r="D211" s="242" t="s">
        <v>259</v>
      </c>
      <c r="E211" s="242">
        <v>50000</v>
      </c>
      <c r="F211" s="454">
        <f t="shared" si="3"/>
        <v>93.386376795353101</v>
      </c>
      <c r="G211" s="239">
        <v>535.41</v>
      </c>
      <c r="H211" s="242" t="s">
        <v>131</v>
      </c>
      <c r="I211" s="242" t="s">
        <v>656</v>
      </c>
      <c r="J211" s="170" t="s">
        <v>96</v>
      </c>
      <c r="K211" s="170" t="s">
        <v>345</v>
      </c>
      <c r="L211" s="170" t="s">
        <v>113</v>
      </c>
      <c r="M211" s="75"/>
      <c r="N211" s="75"/>
      <c r="O211" s="75"/>
    </row>
    <row r="212" spans="1:15" ht="15.6">
      <c r="A212" s="457">
        <v>46084</v>
      </c>
      <c r="B212" s="242" t="s">
        <v>1025</v>
      </c>
      <c r="C212" s="170" t="s">
        <v>337</v>
      </c>
      <c r="D212" s="242" t="s">
        <v>259</v>
      </c>
      <c r="E212" s="242">
        <v>2000</v>
      </c>
      <c r="F212" s="454">
        <f t="shared" si="3"/>
        <v>3.735455071814124</v>
      </c>
      <c r="G212" s="239">
        <v>535.41</v>
      </c>
      <c r="H212" s="242" t="s">
        <v>131</v>
      </c>
      <c r="I212" s="242" t="s">
        <v>653</v>
      </c>
      <c r="J212" s="170" t="s">
        <v>96</v>
      </c>
      <c r="K212" s="170" t="s">
        <v>345</v>
      </c>
      <c r="L212" s="170" t="s">
        <v>113</v>
      </c>
      <c r="M212" s="75"/>
      <c r="N212" s="75"/>
      <c r="O212" s="75"/>
    </row>
    <row r="213" spans="1:15" ht="15.6">
      <c r="A213" s="457">
        <v>46084</v>
      </c>
      <c r="B213" s="242" t="s">
        <v>1029</v>
      </c>
      <c r="C213" s="170" t="s">
        <v>337</v>
      </c>
      <c r="D213" s="242" t="s">
        <v>259</v>
      </c>
      <c r="E213" s="242">
        <v>500</v>
      </c>
      <c r="F213" s="454">
        <f t="shared" si="3"/>
        <v>0.93386376795353099</v>
      </c>
      <c r="G213" s="239">
        <v>535.41</v>
      </c>
      <c r="H213" s="242" t="s">
        <v>131</v>
      </c>
      <c r="I213" s="242" t="s">
        <v>653</v>
      </c>
      <c r="J213" s="170" t="s">
        <v>96</v>
      </c>
      <c r="K213" s="170" t="s">
        <v>345</v>
      </c>
      <c r="L213" s="170" t="s">
        <v>113</v>
      </c>
      <c r="M213" s="75"/>
      <c r="N213" s="75"/>
      <c r="O213" s="75"/>
    </row>
    <row r="214" spans="1:15" ht="15.6">
      <c r="A214" s="453">
        <v>46084</v>
      </c>
      <c r="B214" s="170" t="s">
        <v>1028</v>
      </c>
      <c r="C214" s="242" t="s">
        <v>402</v>
      </c>
      <c r="D214" s="170" t="s">
        <v>259</v>
      </c>
      <c r="E214" s="170">
        <v>5000</v>
      </c>
      <c r="F214" s="454">
        <f t="shared" si="3"/>
        <v>9.3386376795353101</v>
      </c>
      <c r="G214" s="239">
        <v>535.41</v>
      </c>
      <c r="H214" s="170" t="s">
        <v>131</v>
      </c>
      <c r="I214" s="170" t="s">
        <v>657</v>
      </c>
      <c r="J214" s="170" t="s">
        <v>96</v>
      </c>
      <c r="K214" s="170" t="s">
        <v>345</v>
      </c>
      <c r="L214" s="170" t="s">
        <v>113</v>
      </c>
      <c r="M214" s="75"/>
      <c r="N214" s="75"/>
      <c r="O214" s="75"/>
    </row>
    <row r="215" spans="1:15" ht="15.6">
      <c r="A215" s="457">
        <v>46084</v>
      </c>
      <c r="B215" s="242" t="s">
        <v>1031</v>
      </c>
      <c r="C215" s="170" t="s">
        <v>337</v>
      </c>
      <c r="D215" s="242" t="s">
        <v>259</v>
      </c>
      <c r="E215" s="242">
        <v>500</v>
      </c>
      <c r="F215" s="454">
        <f t="shared" si="3"/>
        <v>0.93386376795353099</v>
      </c>
      <c r="G215" s="239">
        <v>535.41</v>
      </c>
      <c r="H215" s="242" t="s">
        <v>131</v>
      </c>
      <c r="I215" s="242" t="s">
        <v>653</v>
      </c>
      <c r="J215" s="170" t="s">
        <v>96</v>
      </c>
      <c r="K215" s="170" t="s">
        <v>345</v>
      </c>
      <c r="L215" s="170" t="s">
        <v>113</v>
      </c>
      <c r="M215" s="75"/>
      <c r="N215" s="75"/>
      <c r="O215" s="75"/>
    </row>
    <row r="216" spans="1:15" ht="15.6">
      <c r="A216" s="457">
        <v>46084</v>
      </c>
      <c r="B216" s="242" t="s">
        <v>1027</v>
      </c>
      <c r="C216" s="170" t="s">
        <v>337</v>
      </c>
      <c r="D216" s="242" t="s">
        <v>259</v>
      </c>
      <c r="E216" s="242">
        <v>500</v>
      </c>
      <c r="F216" s="454">
        <f t="shared" si="3"/>
        <v>0.93386376795353099</v>
      </c>
      <c r="G216" s="239">
        <v>535.41</v>
      </c>
      <c r="H216" s="242" t="s">
        <v>131</v>
      </c>
      <c r="I216" s="242" t="s">
        <v>653</v>
      </c>
      <c r="J216" s="170" t="s">
        <v>96</v>
      </c>
      <c r="K216" s="170" t="s">
        <v>345</v>
      </c>
      <c r="L216" s="170" t="s">
        <v>113</v>
      </c>
      <c r="M216" s="75"/>
      <c r="N216" s="75"/>
      <c r="O216" s="75"/>
    </row>
    <row r="217" spans="1:15" ht="15.6">
      <c r="A217" s="457">
        <v>46085</v>
      </c>
      <c r="B217" s="242" t="s">
        <v>186</v>
      </c>
      <c r="C217" s="170" t="s">
        <v>337</v>
      </c>
      <c r="D217" s="458" t="s">
        <v>99</v>
      </c>
      <c r="E217" s="242">
        <v>1000</v>
      </c>
      <c r="F217" s="454">
        <f t="shared" si="3"/>
        <v>1.8771635173931283</v>
      </c>
      <c r="G217" s="239">
        <v>532.71864210781655</v>
      </c>
      <c r="H217" s="459" t="s">
        <v>111</v>
      </c>
      <c r="I217" s="170" t="s">
        <v>380</v>
      </c>
      <c r="J217" s="170" t="s">
        <v>96</v>
      </c>
      <c r="K217" s="170" t="s">
        <v>345</v>
      </c>
      <c r="L217" s="170" t="s">
        <v>113</v>
      </c>
      <c r="M217" s="361"/>
      <c r="N217" s="361"/>
      <c r="O217" s="247"/>
    </row>
    <row r="218" spans="1:15" ht="15.6">
      <c r="A218" s="457">
        <v>46085</v>
      </c>
      <c r="B218" s="242" t="s">
        <v>193</v>
      </c>
      <c r="C218" s="170" t="s">
        <v>337</v>
      </c>
      <c r="D218" s="458" t="s">
        <v>99</v>
      </c>
      <c r="E218" s="242">
        <v>1000</v>
      </c>
      <c r="F218" s="454">
        <f t="shared" si="3"/>
        <v>1.9254803020356539</v>
      </c>
      <c r="G218" s="239">
        <v>519.35093749999999</v>
      </c>
      <c r="H218" s="459" t="s">
        <v>111</v>
      </c>
      <c r="I218" s="170" t="s">
        <v>380</v>
      </c>
      <c r="J218" s="170" t="s">
        <v>96</v>
      </c>
      <c r="K218" s="170" t="s">
        <v>345</v>
      </c>
      <c r="L218" s="170" t="s">
        <v>113</v>
      </c>
      <c r="M218" s="361"/>
      <c r="N218" s="361"/>
      <c r="O218" s="124"/>
    </row>
    <row r="219" spans="1:15" ht="15.6">
      <c r="A219" s="457">
        <v>46085</v>
      </c>
      <c r="B219" s="242" t="s">
        <v>315</v>
      </c>
      <c r="C219" s="170" t="s">
        <v>337</v>
      </c>
      <c r="D219" s="458" t="s">
        <v>99</v>
      </c>
      <c r="E219" s="242">
        <v>1000</v>
      </c>
      <c r="F219" s="454">
        <f t="shared" si="3"/>
        <v>1.9254803020356539</v>
      </c>
      <c r="G219" s="239">
        <v>519.35093749999999</v>
      </c>
      <c r="H219" s="459" t="s">
        <v>111</v>
      </c>
      <c r="I219" s="170" t="s">
        <v>380</v>
      </c>
      <c r="J219" s="170" t="s">
        <v>96</v>
      </c>
      <c r="K219" s="170" t="s">
        <v>345</v>
      </c>
      <c r="L219" s="170" t="s">
        <v>113</v>
      </c>
      <c r="M219" s="361"/>
      <c r="N219" s="361"/>
      <c r="O219" s="124"/>
    </row>
    <row r="220" spans="1:15" ht="15.6">
      <c r="A220" s="457">
        <v>46085</v>
      </c>
      <c r="B220" s="242" t="s">
        <v>192</v>
      </c>
      <c r="C220" s="170" t="s">
        <v>337</v>
      </c>
      <c r="D220" s="458" t="s">
        <v>99</v>
      </c>
      <c r="E220" s="242">
        <v>1000</v>
      </c>
      <c r="F220" s="454">
        <f t="shared" si="3"/>
        <v>1.9254803020356539</v>
      </c>
      <c r="G220" s="239">
        <v>519.35093749999999</v>
      </c>
      <c r="H220" s="459" t="s">
        <v>111</v>
      </c>
      <c r="I220" s="170" t="s">
        <v>380</v>
      </c>
      <c r="J220" s="170" t="s">
        <v>96</v>
      </c>
      <c r="K220" s="170" t="s">
        <v>345</v>
      </c>
      <c r="L220" s="170" t="s">
        <v>113</v>
      </c>
      <c r="M220" s="361"/>
      <c r="N220" s="361"/>
      <c r="O220" s="124"/>
    </row>
    <row r="221" spans="1:15" ht="15.6">
      <c r="A221" s="453">
        <v>46085</v>
      </c>
      <c r="B221" s="170" t="s">
        <v>443</v>
      </c>
      <c r="C221" s="170" t="s">
        <v>103</v>
      </c>
      <c r="D221" s="242" t="s">
        <v>98</v>
      </c>
      <c r="E221" s="460">
        <v>12750</v>
      </c>
      <c r="F221" s="454">
        <f t="shared" si="3"/>
        <v>23.813526082815041</v>
      </c>
      <c r="G221" s="239">
        <v>535.41</v>
      </c>
      <c r="H221" s="242" t="s">
        <v>168</v>
      </c>
      <c r="I221" s="170" t="s">
        <v>513</v>
      </c>
      <c r="J221" s="170" t="s">
        <v>96</v>
      </c>
      <c r="K221" s="170" t="s">
        <v>345</v>
      </c>
      <c r="L221" s="170" t="s">
        <v>113</v>
      </c>
      <c r="M221" s="75"/>
      <c r="N221" s="75"/>
      <c r="O221" s="75"/>
    </row>
    <row r="222" spans="1:15" ht="15.6">
      <c r="A222" s="467">
        <v>46085</v>
      </c>
      <c r="B222" s="242" t="s">
        <v>444</v>
      </c>
      <c r="C222" s="170" t="s">
        <v>337</v>
      </c>
      <c r="D222" s="242" t="s">
        <v>98</v>
      </c>
      <c r="E222" s="298">
        <v>1000</v>
      </c>
      <c r="F222" s="454">
        <f t="shared" si="3"/>
        <v>1.867727535907062</v>
      </c>
      <c r="G222" s="239">
        <v>535.41</v>
      </c>
      <c r="H222" s="242" t="s">
        <v>168</v>
      </c>
      <c r="I222" s="242" t="s">
        <v>510</v>
      </c>
      <c r="J222" s="170" t="s">
        <v>96</v>
      </c>
      <c r="K222" s="170" t="s">
        <v>345</v>
      </c>
      <c r="L222" s="170" t="s">
        <v>113</v>
      </c>
      <c r="M222" s="75"/>
      <c r="N222" s="75"/>
      <c r="O222" s="75"/>
    </row>
    <row r="223" spans="1:15" ht="15.6">
      <c r="A223" s="467">
        <v>46085</v>
      </c>
      <c r="B223" s="242" t="s">
        <v>445</v>
      </c>
      <c r="C223" s="170" t="s">
        <v>337</v>
      </c>
      <c r="D223" s="242" t="s">
        <v>98</v>
      </c>
      <c r="E223" s="298">
        <v>1000</v>
      </c>
      <c r="F223" s="454">
        <f t="shared" ref="F223:F286" si="4">E223/G223</f>
        <v>1.867727535907062</v>
      </c>
      <c r="G223" s="239">
        <v>535.41</v>
      </c>
      <c r="H223" s="242" t="s">
        <v>168</v>
      </c>
      <c r="I223" s="242" t="s">
        <v>510</v>
      </c>
      <c r="J223" s="170" t="s">
        <v>96</v>
      </c>
      <c r="K223" s="170" t="s">
        <v>345</v>
      </c>
      <c r="L223" s="170" t="s">
        <v>113</v>
      </c>
      <c r="M223" s="75"/>
      <c r="N223" s="75"/>
      <c r="O223" s="75"/>
    </row>
    <row r="224" spans="1:15" ht="15.6">
      <c r="A224" s="467">
        <v>46085</v>
      </c>
      <c r="B224" s="242" t="s">
        <v>446</v>
      </c>
      <c r="C224" s="170" t="s">
        <v>337</v>
      </c>
      <c r="D224" s="242" t="s">
        <v>98</v>
      </c>
      <c r="E224" s="298">
        <v>1000</v>
      </c>
      <c r="F224" s="454">
        <f t="shared" si="4"/>
        <v>1.867727535907062</v>
      </c>
      <c r="G224" s="239">
        <v>535.41</v>
      </c>
      <c r="H224" s="242" t="s">
        <v>168</v>
      </c>
      <c r="I224" s="242" t="s">
        <v>510</v>
      </c>
      <c r="J224" s="170" t="s">
        <v>96</v>
      </c>
      <c r="K224" s="170" t="s">
        <v>345</v>
      </c>
      <c r="L224" s="170" t="s">
        <v>113</v>
      </c>
      <c r="M224" s="75"/>
      <c r="N224" s="75"/>
      <c r="O224" s="75"/>
    </row>
    <row r="225" spans="1:15" ht="15.6">
      <c r="A225" s="428">
        <v>46085</v>
      </c>
      <c r="B225" s="165" t="s">
        <v>538</v>
      </c>
      <c r="C225" s="429" t="s">
        <v>110</v>
      </c>
      <c r="D225" s="429" t="s">
        <v>259</v>
      </c>
      <c r="E225" s="429">
        <v>7500</v>
      </c>
      <c r="F225" s="454">
        <f t="shared" si="4"/>
        <v>14.007956519302965</v>
      </c>
      <c r="G225" s="239">
        <v>535.41</v>
      </c>
      <c r="H225" s="429" t="s">
        <v>123</v>
      </c>
      <c r="I225" s="429" t="s">
        <v>549</v>
      </c>
      <c r="J225" s="170" t="s">
        <v>96</v>
      </c>
      <c r="K225" s="170" t="s">
        <v>345</v>
      </c>
      <c r="L225" s="170" t="s">
        <v>113</v>
      </c>
      <c r="M225" s="75"/>
      <c r="N225" s="75"/>
      <c r="O225" s="75"/>
    </row>
    <row r="226" spans="1:15" ht="15.6">
      <c r="A226" s="457">
        <v>46085</v>
      </c>
      <c r="B226" s="242" t="s">
        <v>1027</v>
      </c>
      <c r="C226" s="170" t="s">
        <v>337</v>
      </c>
      <c r="D226" s="242" t="s">
        <v>259</v>
      </c>
      <c r="E226" s="242">
        <v>500</v>
      </c>
      <c r="F226" s="454">
        <f t="shared" si="4"/>
        <v>0.93386376795353099</v>
      </c>
      <c r="G226" s="239">
        <v>535.41</v>
      </c>
      <c r="H226" s="242" t="s">
        <v>122</v>
      </c>
      <c r="I226" s="242" t="s">
        <v>594</v>
      </c>
      <c r="J226" s="170" t="s">
        <v>96</v>
      </c>
      <c r="K226" s="170" t="s">
        <v>345</v>
      </c>
      <c r="L226" s="170" t="s">
        <v>113</v>
      </c>
      <c r="M226" s="75"/>
      <c r="N226" s="75"/>
      <c r="O226" s="75"/>
    </row>
    <row r="227" spans="1:15" ht="15.6">
      <c r="A227" s="457">
        <v>46085</v>
      </c>
      <c r="B227" s="242" t="s">
        <v>1027</v>
      </c>
      <c r="C227" s="170" t="s">
        <v>337</v>
      </c>
      <c r="D227" s="242" t="s">
        <v>259</v>
      </c>
      <c r="E227" s="242">
        <v>500</v>
      </c>
      <c r="F227" s="454">
        <f t="shared" si="4"/>
        <v>0.93386376795353099</v>
      </c>
      <c r="G227" s="239">
        <v>535.41</v>
      </c>
      <c r="H227" s="242" t="s">
        <v>122</v>
      </c>
      <c r="I227" s="242" t="s">
        <v>594</v>
      </c>
      <c r="J227" s="170" t="s">
        <v>96</v>
      </c>
      <c r="K227" s="170" t="s">
        <v>345</v>
      </c>
      <c r="L227" s="170" t="s">
        <v>113</v>
      </c>
      <c r="M227" s="75"/>
      <c r="N227" s="75"/>
      <c r="O227" s="75"/>
    </row>
    <row r="228" spans="1:15" ht="15.6">
      <c r="A228" s="457">
        <v>46085</v>
      </c>
      <c r="B228" s="242" t="s">
        <v>1027</v>
      </c>
      <c r="C228" s="170" t="s">
        <v>337</v>
      </c>
      <c r="D228" s="242" t="s">
        <v>259</v>
      </c>
      <c r="E228" s="242">
        <v>500</v>
      </c>
      <c r="F228" s="454">
        <f t="shared" si="4"/>
        <v>0.93386376795353099</v>
      </c>
      <c r="G228" s="239">
        <v>535.41</v>
      </c>
      <c r="H228" s="242" t="s">
        <v>122</v>
      </c>
      <c r="I228" s="242" t="s">
        <v>594</v>
      </c>
      <c r="J228" s="170" t="s">
        <v>96</v>
      </c>
      <c r="K228" s="170" t="s">
        <v>345</v>
      </c>
      <c r="L228" s="170" t="s">
        <v>113</v>
      </c>
      <c r="M228" s="75"/>
      <c r="N228" s="75"/>
      <c r="O228" s="75"/>
    </row>
    <row r="229" spans="1:15" ht="15.6">
      <c r="A229" s="457">
        <v>46085</v>
      </c>
      <c r="B229" s="242" t="s">
        <v>1027</v>
      </c>
      <c r="C229" s="170" t="s">
        <v>337</v>
      </c>
      <c r="D229" s="242" t="s">
        <v>259</v>
      </c>
      <c r="E229" s="242">
        <v>500</v>
      </c>
      <c r="F229" s="454">
        <f t="shared" si="4"/>
        <v>0.93386376795353099</v>
      </c>
      <c r="G229" s="239">
        <v>535.41</v>
      </c>
      <c r="H229" s="242" t="s">
        <v>122</v>
      </c>
      <c r="I229" s="242" t="s">
        <v>594</v>
      </c>
      <c r="J229" s="170" t="s">
        <v>96</v>
      </c>
      <c r="K229" s="170" t="s">
        <v>345</v>
      </c>
      <c r="L229" s="170" t="s">
        <v>113</v>
      </c>
      <c r="M229" s="75"/>
      <c r="N229" s="75"/>
      <c r="O229" s="75"/>
    </row>
    <row r="230" spans="1:15" ht="15.6">
      <c r="A230" s="457">
        <v>46085</v>
      </c>
      <c r="B230" s="242" t="s">
        <v>1027</v>
      </c>
      <c r="C230" s="170" t="s">
        <v>337</v>
      </c>
      <c r="D230" s="242" t="s">
        <v>259</v>
      </c>
      <c r="E230" s="242">
        <v>500</v>
      </c>
      <c r="F230" s="454">
        <f t="shared" si="4"/>
        <v>0.93386376795353099</v>
      </c>
      <c r="G230" s="239">
        <v>535.41</v>
      </c>
      <c r="H230" s="242" t="s">
        <v>122</v>
      </c>
      <c r="I230" s="242" t="s">
        <v>594</v>
      </c>
      <c r="J230" s="170" t="s">
        <v>96</v>
      </c>
      <c r="K230" s="170" t="s">
        <v>345</v>
      </c>
      <c r="L230" s="170" t="s">
        <v>113</v>
      </c>
      <c r="M230" s="75"/>
      <c r="N230" s="75"/>
      <c r="O230" s="75"/>
    </row>
    <row r="231" spans="1:15" ht="15.6">
      <c r="A231" s="457">
        <v>46085</v>
      </c>
      <c r="B231" s="242" t="s">
        <v>1031</v>
      </c>
      <c r="C231" s="170" t="s">
        <v>337</v>
      </c>
      <c r="D231" s="242" t="s">
        <v>259</v>
      </c>
      <c r="E231" s="242">
        <v>500</v>
      </c>
      <c r="F231" s="454">
        <f t="shared" si="4"/>
        <v>0.93386376795353099</v>
      </c>
      <c r="G231" s="239">
        <v>535.41</v>
      </c>
      <c r="H231" s="242" t="s">
        <v>122</v>
      </c>
      <c r="I231" s="242" t="s">
        <v>594</v>
      </c>
      <c r="J231" s="170" t="s">
        <v>96</v>
      </c>
      <c r="K231" s="170" t="s">
        <v>345</v>
      </c>
      <c r="L231" s="170" t="s">
        <v>113</v>
      </c>
      <c r="M231" s="75"/>
      <c r="N231" s="75"/>
      <c r="O231" s="75"/>
    </row>
    <row r="232" spans="1:15" ht="15.6">
      <c r="A232" s="457">
        <v>46085</v>
      </c>
      <c r="B232" s="242" t="s">
        <v>1031</v>
      </c>
      <c r="C232" s="170" t="s">
        <v>337</v>
      </c>
      <c r="D232" s="242" t="s">
        <v>259</v>
      </c>
      <c r="E232" s="242">
        <v>500</v>
      </c>
      <c r="F232" s="454">
        <f t="shared" si="4"/>
        <v>0.93386376795353099</v>
      </c>
      <c r="G232" s="239">
        <v>535.41</v>
      </c>
      <c r="H232" s="242" t="s">
        <v>122</v>
      </c>
      <c r="I232" s="242" t="s">
        <v>594</v>
      </c>
      <c r="J232" s="170" t="s">
        <v>96</v>
      </c>
      <c r="K232" s="170" t="s">
        <v>345</v>
      </c>
      <c r="L232" s="170" t="s">
        <v>113</v>
      </c>
      <c r="M232" s="75"/>
      <c r="N232" s="75"/>
      <c r="O232" s="75"/>
    </row>
    <row r="233" spans="1:15" ht="15.6">
      <c r="A233" s="457">
        <v>46085</v>
      </c>
      <c r="B233" s="242" t="s">
        <v>1032</v>
      </c>
      <c r="C233" s="242" t="s">
        <v>587</v>
      </c>
      <c r="D233" s="242" t="s">
        <v>259</v>
      </c>
      <c r="E233" s="242">
        <v>2000</v>
      </c>
      <c r="F233" s="454">
        <f t="shared" si="4"/>
        <v>3.735455071814124</v>
      </c>
      <c r="G233" s="239">
        <v>535.41</v>
      </c>
      <c r="H233" s="242" t="s">
        <v>122</v>
      </c>
      <c r="I233" s="242" t="s">
        <v>596</v>
      </c>
      <c r="J233" s="170" t="s">
        <v>96</v>
      </c>
      <c r="K233" s="170" t="s">
        <v>345</v>
      </c>
      <c r="L233" s="170" t="s">
        <v>113</v>
      </c>
      <c r="M233" s="75"/>
      <c r="N233" s="75"/>
      <c r="O233" s="75"/>
    </row>
    <row r="234" spans="1:15" ht="15.6">
      <c r="A234" s="457">
        <v>46085</v>
      </c>
      <c r="B234" s="242" t="s">
        <v>1027</v>
      </c>
      <c r="C234" s="170" t="s">
        <v>337</v>
      </c>
      <c r="D234" s="242" t="s">
        <v>259</v>
      </c>
      <c r="E234" s="242">
        <v>500</v>
      </c>
      <c r="F234" s="454">
        <f t="shared" si="4"/>
        <v>0.93386376795353099</v>
      </c>
      <c r="G234" s="239">
        <v>535.41</v>
      </c>
      <c r="H234" s="242" t="s">
        <v>131</v>
      </c>
      <c r="I234" s="242" t="s">
        <v>653</v>
      </c>
      <c r="J234" s="170" t="s">
        <v>96</v>
      </c>
      <c r="K234" s="170" t="s">
        <v>345</v>
      </c>
      <c r="L234" s="170" t="s">
        <v>113</v>
      </c>
      <c r="M234" s="75"/>
      <c r="N234" s="75"/>
      <c r="O234" s="75"/>
    </row>
    <row r="235" spans="1:15" ht="15.6">
      <c r="A235" s="457">
        <v>46085</v>
      </c>
      <c r="B235" s="242" t="s">
        <v>1031</v>
      </c>
      <c r="C235" s="170" t="s">
        <v>337</v>
      </c>
      <c r="D235" s="242" t="s">
        <v>259</v>
      </c>
      <c r="E235" s="242">
        <v>500</v>
      </c>
      <c r="F235" s="454">
        <f t="shared" si="4"/>
        <v>0.93386376795353099</v>
      </c>
      <c r="G235" s="239">
        <v>535.41</v>
      </c>
      <c r="H235" s="242" t="s">
        <v>131</v>
      </c>
      <c r="I235" s="242" t="s">
        <v>653</v>
      </c>
      <c r="J235" s="170" t="s">
        <v>96</v>
      </c>
      <c r="K235" s="170" t="s">
        <v>345</v>
      </c>
      <c r="L235" s="170" t="s">
        <v>113</v>
      </c>
      <c r="M235" s="75"/>
      <c r="N235" s="75"/>
      <c r="O235" s="75"/>
    </row>
    <row r="236" spans="1:15" ht="15.6">
      <c r="A236" s="457">
        <v>46085</v>
      </c>
      <c r="B236" s="242" t="s">
        <v>540</v>
      </c>
      <c r="C236" s="242" t="s">
        <v>647</v>
      </c>
      <c r="D236" s="242" t="s">
        <v>259</v>
      </c>
      <c r="E236" s="242">
        <v>2000</v>
      </c>
      <c r="F236" s="454">
        <f t="shared" si="4"/>
        <v>3.735455071814124</v>
      </c>
      <c r="G236" s="239">
        <v>535.41</v>
      </c>
      <c r="H236" s="242" t="s">
        <v>131</v>
      </c>
      <c r="I236" s="242" t="s">
        <v>658</v>
      </c>
      <c r="J236" s="170" t="s">
        <v>96</v>
      </c>
      <c r="K236" s="170" t="s">
        <v>345</v>
      </c>
      <c r="L236" s="170" t="s">
        <v>113</v>
      </c>
      <c r="M236" s="75"/>
      <c r="N236" s="75"/>
      <c r="O236" s="75"/>
    </row>
    <row r="237" spans="1:15" ht="15.6">
      <c r="A237" s="457">
        <v>46085</v>
      </c>
      <c r="B237" s="242" t="s">
        <v>1027</v>
      </c>
      <c r="C237" s="170" t="s">
        <v>337</v>
      </c>
      <c r="D237" s="242" t="s">
        <v>259</v>
      </c>
      <c r="E237" s="242">
        <v>500</v>
      </c>
      <c r="F237" s="454">
        <f t="shared" si="4"/>
        <v>0.93386376795353099</v>
      </c>
      <c r="G237" s="239">
        <v>535.41</v>
      </c>
      <c r="H237" s="242" t="s">
        <v>131</v>
      </c>
      <c r="I237" s="242" t="s">
        <v>653</v>
      </c>
      <c r="J237" s="170" t="s">
        <v>96</v>
      </c>
      <c r="K237" s="170" t="s">
        <v>345</v>
      </c>
      <c r="L237" s="170" t="s">
        <v>113</v>
      </c>
      <c r="M237" s="75"/>
      <c r="N237" s="75"/>
      <c r="O237" s="75"/>
    </row>
    <row r="238" spans="1:15" ht="15.6">
      <c r="A238" s="457">
        <v>46085</v>
      </c>
      <c r="B238" s="242" t="s">
        <v>1031</v>
      </c>
      <c r="C238" s="170" t="s">
        <v>337</v>
      </c>
      <c r="D238" s="242" t="s">
        <v>259</v>
      </c>
      <c r="E238" s="242">
        <v>500</v>
      </c>
      <c r="F238" s="454">
        <f t="shared" si="4"/>
        <v>0.93386376795353099</v>
      </c>
      <c r="G238" s="239">
        <v>535.41</v>
      </c>
      <c r="H238" s="242" t="s">
        <v>131</v>
      </c>
      <c r="I238" s="242" t="s">
        <v>653</v>
      </c>
      <c r="J238" s="170" t="s">
        <v>96</v>
      </c>
      <c r="K238" s="170" t="s">
        <v>345</v>
      </c>
      <c r="L238" s="170" t="s">
        <v>113</v>
      </c>
      <c r="M238" s="75"/>
      <c r="N238" s="75"/>
      <c r="O238" s="75"/>
    </row>
    <row r="239" spans="1:15" ht="15.6">
      <c r="A239" s="457">
        <v>46085</v>
      </c>
      <c r="B239" s="242" t="s">
        <v>1027</v>
      </c>
      <c r="C239" s="170" t="s">
        <v>337</v>
      </c>
      <c r="D239" s="242" t="s">
        <v>259</v>
      </c>
      <c r="E239" s="242">
        <v>500</v>
      </c>
      <c r="F239" s="454">
        <f t="shared" si="4"/>
        <v>0.93386376795353099</v>
      </c>
      <c r="G239" s="239">
        <v>535.41</v>
      </c>
      <c r="H239" s="242" t="s">
        <v>131</v>
      </c>
      <c r="I239" s="242" t="s">
        <v>653</v>
      </c>
      <c r="J239" s="170" t="s">
        <v>96</v>
      </c>
      <c r="K239" s="170" t="s">
        <v>345</v>
      </c>
      <c r="L239" s="170" t="s">
        <v>113</v>
      </c>
      <c r="M239" s="75"/>
      <c r="N239" s="75"/>
      <c r="O239" s="75"/>
    </row>
    <row r="240" spans="1:15" ht="15.6">
      <c r="A240" s="468">
        <v>46085</v>
      </c>
      <c r="B240" s="170" t="s">
        <v>694</v>
      </c>
      <c r="C240" s="456" t="s">
        <v>110</v>
      </c>
      <c r="D240" s="456" t="s">
        <v>97</v>
      </c>
      <c r="E240" s="367">
        <v>3000</v>
      </c>
      <c r="F240" s="454">
        <f t="shared" si="4"/>
        <v>5.6031826077211857</v>
      </c>
      <c r="G240" s="239">
        <v>535.41</v>
      </c>
      <c r="H240" s="456" t="s">
        <v>134</v>
      </c>
      <c r="I240" s="170" t="s">
        <v>728</v>
      </c>
      <c r="J240" s="170" t="s">
        <v>96</v>
      </c>
      <c r="K240" s="170" t="s">
        <v>345</v>
      </c>
      <c r="L240" s="170" t="s">
        <v>113</v>
      </c>
      <c r="M240" s="75"/>
      <c r="N240" s="75"/>
      <c r="O240" s="75"/>
    </row>
    <row r="241" spans="1:15" ht="15.6">
      <c r="A241" s="457">
        <v>46085</v>
      </c>
      <c r="B241" s="462" t="s">
        <v>744</v>
      </c>
      <c r="C241" s="462" t="s">
        <v>110</v>
      </c>
      <c r="D241" s="469" t="s">
        <v>100</v>
      </c>
      <c r="E241" s="299">
        <v>3000</v>
      </c>
      <c r="F241" s="454">
        <f t="shared" si="4"/>
        <v>5.6031826077211857</v>
      </c>
      <c r="G241" s="239">
        <v>535.41</v>
      </c>
      <c r="H241" s="242" t="s">
        <v>129</v>
      </c>
      <c r="I241" s="242" t="s">
        <v>786</v>
      </c>
      <c r="J241" s="170" t="s">
        <v>96</v>
      </c>
      <c r="K241" s="170" t="s">
        <v>345</v>
      </c>
      <c r="L241" s="170" t="s">
        <v>113</v>
      </c>
      <c r="M241" s="75"/>
      <c r="N241" s="75"/>
      <c r="O241" s="75"/>
    </row>
    <row r="242" spans="1:15" ht="15.6">
      <c r="A242" s="457">
        <v>46085</v>
      </c>
      <c r="B242" s="242" t="s">
        <v>798</v>
      </c>
      <c r="C242" s="170" t="s">
        <v>337</v>
      </c>
      <c r="D242" s="242" t="s">
        <v>97</v>
      </c>
      <c r="E242" s="242">
        <v>500</v>
      </c>
      <c r="F242" s="454">
        <f t="shared" si="4"/>
        <v>0.93386376795353099</v>
      </c>
      <c r="G242" s="239">
        <v>535.41</v>
      </c>
      <c r="H242" s="242" t="s">
        <v>124</v>
      </c>
      <c r="I242" s="242" t="s">
        <v>836</v>
      </c>
      <c r="J242" s="170" t="s">
        <v>96</v>
      </c>
      <c r="K242" s="170" t="s">
        <v>345</v>
      </c>
      <c r="L242" s="170" t="s">
        <v>113</v>
      </c>
      <c r="M242" s="75"/>
      <c r="N242" s="75"/>
      <c r="O242" s="75"/>
    </row>
    <row r="243" spans="1:15" ht="15.6">
      <c r="A243" s="457">
        <v>46085</v>
      </c>
      <c r="B243" s="242" t="s">
        <v>466</v>
      </c>
      <c r="C243" s="170" t="s">
        <v>337</v>
      </c>
      <c r="D243" s="242" t="s">
        <v>97</v>
      </c>
      <c r="E243" s="242">
        <v>500</v>
      </c>
      <c r="F243" s="454">
        <f t="shared" si="4"/>
        <v>0.93386376795353099</v>
      </c>
      <c r="G243" s="239">
        <v>535.41</v>
      </c>
      <c r="H243" s="242" t="s">
        <v>124</v>
      </c>
      <c r="I243" s="242" t="s">
        <v>836</v>
      </c>
      <c r="J243" s="170" t="s">
        <v>96</v>
      </c>
      <c r="K243" s="170" t="s">
        <v>345</v>
      </c>
      <c r="L243" s="170" t="s">
        <v>113</v>
      </c>
      <c r="M243" s="75"/>
      <c r="N243" s="75"/>
      <c r="O243" s="75"/>
    </row>
    <row r="244" spans="1:15" ht="15.6">
      <c r="A244" s="457">
        <v>46085</v>
      </c>
      <c r="B244" s="242" t="s">
        <v>799</v>
      </c>
      <c r="C244" s="242" t="s">
        <v>110</v>
      </c>
      <c r="D244" s="242" t="s">
        <v>97</v>
      </c>
      <c r="E244" s="242">
        <v>2500</v>
      </c>
      <c r="F244" s="454">
        <f t="shared" si="4"/>
        <v>4.669318839767655</v>
      </c>
      <c r="G244" s="239">
        <v>535.41</v>
      </c>
      <c r="H244" s="242" t="s">
        <v>124</v>
      </c>
      <c r="I244" s="242" t="s">
        <v>837</v>
      </c>
      <c r="J244" s="170" t="s">
        <v>96</v>
      </c>
      <c r="K244" s="170" t="s">
        <v>345</v>
      </c>
      <c r="L244" s="170" t="s">
        <v>113</v>
      </c>
      <c r="M244" s="75"/>
      <c r="N244" s="75"/>
      <c r="O244" s="75"/>
    </row>
    <row r="245" spans="1:15" ht="15.6">
      <c r="A245" s="453">
        <v>46085</v>
      </c>
      <c r="B245" s="170" t="s">
        <v>800</v>
      </c>
      <c r="C245" s="242" t="s">
        <v>463</v>
      </c>
      <c r="D245" s="242" t="s">
        <v>98</v>
      </c>
      <c r="E245" s="460">
        <v>2920</v>
      </c>
      <c r="F245" s="454">
        <f t="shared" si="4"/>
        <v>5.4537644048486209</v>
      </c>
      <c r="G245" s="239">
        <v>535.41</v>
      </c>
      <c r="H245" s="170" t="s">
        <v>124</v>
      </c>
      <c r="I245" s="170" t="s">
        <v>838</v>
      </c>
      <c r="J245" s="170" t="s">
        <v>96</v>
      </c>
      <c r="K245" s="170" t="s">
        <v>345</v>
      </c>
      <c r="L245" s="170" t="s">
        <v>113</v>
      </c>
      <c r="M245" s="75"/>
      <c r="N245" s="75"/>
      <c r="O245" s="75"/>
    </row>
    <row r="246" spans="1:15" ht="15.6">
      <c r="A246" s="457">
        <v>46086</v>
      </c>
      <c r="B246" s="242" t="s">
        <v>186</v>
      </c>
      <c r="C246" s="170" t="s">
        <v>337</v>
      </c>
      <c r="D246" s="458" t="s">
        <v>99</v>
      </c>
      <c r="E246" s="242">
        <v>1000</v>
      </c>
      <c r="F246" s="454">
        <f t="shared" si="4"/>
        <v>1.867727535907062</v>
      </c>
      <c r="G246" s="239">
        <v>535.41</v>
      </c>
      <c r="H246" s="459" t="s">
        <v>111</v>
      </c>
      <c r="I246" s="170" t="s">
        <v>380</v>
      </c>
      <c r="J246" s="170" t="s">
        <v>96</v>
      </c>
      <c r="K246" s="170" t="s">
        <v>345</v>
      </c>
      <c r="L246" s="170" t="s">
        <v>113</v>
      </c>
      <c r="M246" s="361"/>
      <c r="N246" s="361"/>
      <c r="O246" s="247"/>
    </row>
    <row r="247" spans="1:15" ht="15.6">
      <c r="A247" s="457">
        <v>46086</v>
      </c>
      <c r="B247" s="242" t="s">
        <v>205</v>
      </c>
      <c r="C247" s="170" t="s">
        <v>337</v>
      </c>
      <c r="D247" s="458" t="s">
        <v>99</v>
      </c>
      <c r="E247" s="242">
        <v>1000</v>
      </c>
      <c r="F247" s="454">
        <f t="shared" si="4"/>
        <v>1.8771635173931283</v>
      </c>
      <c r="G247" s="239">
        <v>532.71864210781655</v>
      </c>
      <c r="H247" s="459" t="s">
        <v>111</v>
      </c>
      <c r="I247" s="170" t="s">
        <v>380</v>
      </c>
      <c r="J247" s="170" t="s">
        <v>96</v>
      </c>
      <c r="K247" s="170" t="s">
        <v>345</v>
      </c>
      <c r="L247" s="170" t="s">
        <v>113</v>
      </c>
      <c r="M247" s="361"/>
      <c r="N247" s="361"/>
      <c r="O247" s="247"/>
    </row>
    <row r="248" spans="1:15" ht="15.6">
      <c r="A248" s="457">
        <v>46086</v>
      </c>
      <c r="B248" s="242" t="s">
        <v>356</v>
      </c>
      <c r="C248" s="170" t="s">
        <v>337</v>
      </c>
      <c r="D248" s="458" t="s">
        <v>99</v>
      </c>
      <c r="E248" s="242">
        <v>1000</v>
      </c>
      <c r="F248" s="454">
        <f t="shared" si="4"/>
        <v>1.8771635173931283</v>
      </c>
      <c r="G248" s="239">
        <v>532.71864210781655</v>
      </c>
      <c r="H248" s="459" t="s">
        <v>111</v>
      </c>
      <c r="I248" s="170" t="s">
        <v>380</v>
      </c>
      <c r="J248" s="170" t="s">
        <v>96</v>
      </c>
      <c r="K248" s="170" t="s">
        <v>345</v>
      </c>
      <c r="L248" s="170" t="s">
        <v>113</v>
      </c>
      <c r="M248" s="361"/>
      <c r="N248" s="361"/>
      <c r="O248" s="247"/>
    </row>
    <row r="249" spans="1:15" ht="15.6">
      <c r="A249" s="457">
        <v>46086</v>
      </c>
      <c r="B249" s="242" t="s">
        <v>192</v>
      </c>
      <c r="C249" s="170" t="s">
        <v>337</v>
      </c>
      <c r="D249" s="458" t="s">
        <v>99</v>
      </c>
      <c r="E249" s="242">
        <v>1000</v>
      </c>
      <c r="F249" s="454">
        <f t="shared" si="4"/>
        <v>1.8771635173931283</v>
      </c>
      <c r="G249" s="239">
        <v>532.71864210781655</v>
      </c>
      <c r="H249" s="459" t="s">
        <v>111</v>
      </c>
      <c r="I249" s="170" t="s">
        <v>380</v>
      </c>
      <c r="J249" s="170" t="s">
        <v>96</v>
      </c>
      <c r="K249" s="170" t="s">
        <v>345</v>
      </c>
      <c r="L249" s="170" t="s">
        <v>113</v>
      </c>
      <c r="M249" s="361"/>
      <c r="N249" s="361"/>
      <c r="O249" s="247"/>
    </row>
    <row r="250" spans="1:15" ht="15.6">
      <c r="A250" s="467">
        <v>46086</v>
      </c>
      <c r="B250" s="242" t="s">
        <v>447</v>
      </c>
      <c r="C250" s="170" t="s">
        <v>337</v>
      </c>
      <c r="D250" s="242" t="s">
        <v>98</v>
      </c>
      <c r="E250" s="298">
        <v>1000</v>
      </c>
      <c r="F250" s="454">
        <f t="shared" si="4"/>
        <v>1.867727535907062</v>
      </c>
      <c r="G250" s="239">
        <v>535.41</v>
      </c>
      <c r="H250" s="242" t="s">
        <v>168</v>
      </c>
      <c r="I250" s="242" t="s">
        <v>510</v>
      </c>
      <c r="J250" s="170" t="s">
        <v>96</v>
      </c>
      <c r="K250" s="170" t="s">
        <v>345</v>
      </c>
      <c r="L250" s="170" t="s">
        <v>113</v>
      </c>
      <c r="M250" s="75"/>
      <c r="N250" s="75"/>
      <c r="O250" s="75"/>
    </row>
    <row r="251" spans="1:15" ht="15.6">
      <c r="A251" s="428">
        <v>46086</v>
      </c>
      <c r="B251" s="429" t="s">
        <v>1033</v>
      </c>
      <c r="C251" s="170" t="s">
        <v>337</v>
      </c>
      <c r="D251" s="429" t="s">
        <v>259</v>
      </c>
      <c r="E251" s="429">
        <v>1000</v>
      </c>
      <c r="F251" s="454">
        <f t="shared" si="4"/>
        <v>1.867727535907062</v>
      </c>
      <c r="G251" s="239">
        <v>535.41</v>
      </c>
      <c r="H251" s="429" t="s">
        <v>123</v>
      </c>
      <c r="I251" s="429" t="s">
        <v>550</v>
      </c>
      <c r="J251" s="170" t="s">
        <v>96</v>
      </c>
      <c r="K251" s="170" t="s">
        <v>345</v>
      </c>
      <c r="L251" s="170" t="s">
        <v>113</v>
      </c>
      <c r="M251" s="75"/>
      <c r="N251" s="75"/>
      <c r="O251" s="75"/>
    </row>
    <row r="252" spans="1:15" ht="15.6">
      <c r="A252" s="428">
        <v>46086</v>
      </c>
      <c r="B252" s="429" t="s">
        <v>1033</v>
      </c>
      <c r="C252" s="170" t="s">
        <v>337</v>
      </c>
      <c r="D252" s="429" t="s">
        <v>259</v>
      </c>
      <c r="E252" s="429">
        <v>1000</v>
      </c>
      <c r="F252" s="454">
        <f t="shared" si="4"/>
        <v>1.867727535907062</v>
      </c>
      <c r="G252" s="239">
        <v>535.41</v>
      </c>
      <c r="H252" s="429" t="s">
        <v>123</v>
      </c>
      <c r="I252" s="429" t="s">
        <v>550</v>
      </c>
      <c r="J252" s="170" t="s">
        <v>96</v>
      </c>
      <c r="K252" s="170" t="s">
        <v>345</v>
      </c>
      <c r="L252" s="170" t="s">
        <v>113</v>
      </c>
      <c r="M252" s="75"/>
      <c r="N252" s="75"/>
      <c r="O252" s="75"/>
    </row>
    <row r="253" spans="1:15" ht="15.6">
      <c r="A253" s="428">
        <v>46086</v>
      </c>
      <c r="B253" s="429" t="s">
        <v>1033</v>
      </c>
      <c r="C253" s="170" t="s">
        <v>337</v>
      </c>
      <c r="D253" s="429" t="s">
        <v>259</v>
      </c>
      <c r="E253" s="429">
        <v>1000</v>
      </c>
      <c r="F253" s="454">
        <f t="shared" si="4"/>
        <v>1.867727535907062</v>
      </c>
      <c r="G253" s="239">
        <v>535.41</v>
      </c>
      <c r="H253" s="429" t="s">
        <v>123</v>
      </c>
      <c r="I253" s="429" t="s">
        <v>550</v>
      </c>
      <c r="J253" s="170" t="s">
        <v>96</v>
      </c>
      <c r="K253" s="170" t="s">
        <v>345</v>
      </c>
      <c r="L253" s="170" t="s">
        <v>113</v>
      </c>
      <c r="M253" s="75"/>
      <c r="N253" s="75"/>
      <c r="O253" s="75"/>
    </row>
    <row r="254" spans="1:15" ht="15.6">
      <c r="A254" s="428">
        <v>46086</v>
      </c>
      <c r="B254" s="429" t="s">
        <v>1033</v>
      </c>
      <c r="C254" s="170" t="s">
        <v>337</v>
      </c>
      <c r="D254" s="429" t="s">
        <v>259</v>
      </c>
      <c r="E254" s="429">
        <v>1000</v>
      </c>
      <c r="F254" s="454">
        <f t="shared" si="4"/>
        <v>1.867727535907062</v>
      </c>
      <c r="G254" s="239">
        <v>535.41</v>
      </c>
      <c r="H254" s="429" t="s">
        <v>123</v>
      </c>
      <c r="I254" s="429" t="s">
        <v>550</v>
      </c>
      <c r="J254" s="170" t="s">
        <v>96</v>
      </c>
      <c r="K254" s="170" t="s">
        <v>345</v>
      </c>
      <c r="L254" s="170" t="s">
        <v>113</v>
      </c>
      <c r="M254" s="75"/>
      <c r="N254" s="75"/>
      <c r="O254" s="75"/>
    </row>
    <row r="255" spans="1:15" ht="15.6">
      <c r="A255" s="428">
        <v>46086</v>
      </c>
      <c r="B255" s="429" t="s">
        <v>1033</v>
      </c>
      <c r="C255" s="170" t="s">
        <v>337</v>
      </c>
      <c r="D255" s="429" t="s">
        <v>259</v>
      </c>
      <c r="E255" s="429">
        <v>1000</v>
      </c>
      <c r="F255" s="454">
        <f t="shared" si="4"/>
        <v>1.867727535907062</v>
      </c>
      <c r="G255" s="239">
        <v>535.41</v>
      </c>
      <c r="H255" s="429" t="s">
        <v>123</v>
      </c>
      <c r="I255" s="429" t="s">
        <v>550</v>
      </c>
      <c r="J255" s="170" t="s">
        <v>96</v>
      </c>
      <c r="K255" s="170" t="s">
        <v>345</v>
      </c>
      <c r="L255" s="170" t="s">
        <v>113</v>
      </c>
      <c r="M255" s="75"/>
      <c r="N255" s="75"/>
      <c r="O255" s="75"/>
    </row>
    <row r="256" spans="1:15" ht="15.6">
      <c r="A256" s="428">
        <v>46086</v>
      </c>
      <c r="B256" s="429" t="s">
        <v>1033</v>
      </c>
      <c r="C256" s="170" t="s">
        <v>337</v>
      </c>
      <c r="D256" s="429" t="s">
        <v>259</v>
      </c>
      <c r="E256" s="429">
        <v>1000</v>
      </c>
      <c r="F256" s="454">
        <f t="shared" si="4"/>
        <v>1.867727535907062</v>
      </c>
      <c r="G256" s="239">
        <v>535.41</v>
      </c>
      <c r="H256" s="429" t="s">
        <v>123</v>
      </c>
      <c r="I256" s="429" t="s">
        <v>550</v>
      </c>
      <c r="J256" s="170" t="s">
        <v>96</v>
      </c>
      <c r="K256" s="170" t="s">
        <v>345</v>
      </c>
      <c r="L256" s="170" t="s">
        <v>113</v>
      </c>
      <c r="M256" s="75"/>
      <c r="N256" s="75"/>
      <c r="O256" s="75"/>
    </row>
    <row r="257" spans="1:15" ht="15.6">
      <c r="A257" s="428">
        <v>46086</v>
      </c>
      <c r="B257" s="429" t="s">
        <v>540</v>
      </c>
      <c r="C257" s="429" t="s">
        <v>541</v>
      </c>
      <c r="D257" s="429" t="s">
        <v>259</v>
      </c>
      <c r="E257" s="429">
        <v>1500</v>
      </c>
      <c r="F257" s="454">
        <f t="shared" si="4"/>
        <v>2.8015913038605929</v>
      </c>
      <c r="G257" s="239">
        <v>535.41</v>
      </c>
      <c r="H257" s="429" t="s">
        <v>123</v>
      </c>
      <c r="I257" s="429" t="s">
        <v>551</v>
      </c>
      <c r="J257" s="170" t="s">
        <v>96</v>
      </c>
      <c r="K257" s="170" t="s">
        <v>345</v>
      </c>
      <c r="L257" s="170" t="s">
        <v>113</v>
      </c>
      <c r="M257" s="75"/>
      <c r="N257" s="75"/>
      <c r="O257" s="75"/>
    </row>
    <row r="258" spans="1:15" ht="15.6">
      <c r="A258" s="457">
        <v>46086</v>
      </c>
      <c r="B258" s="242" t="s">
        <v>1027</v>
      </c>
      <c r="C258" s="170" t="s">
        <v>337</v>
      </c>
      <c r="D258" s="242" t="s">
        <v>259</v>
      </c>
      <c r="E258" s="242">
        <v>500</v>
      </c>
      <c r="F258" s="454">
        <f t="shared" si="4"/>
        <v>0.93386376795353099</v>
      </c>
      <c r="G258" s="239">
        <v>535.41</v>
      </c>
      <c r="H258" s="242" t="s">
        <v>122</v>
      </c>
      <c r="I258" s="242" t="s">
        <v>594</v>
      </c>
      <c r="J258" s="170" t="s">
        <v>96</v>
      </c>
      <c r="K258" s="170" t="s">
        <v>345</v>
      </c>
      <c r="L258" s="170" t="s">
        <v>113</v>
      </c>
      <c r="M258" s="75"/>
      <c r="N258" s="75"/>
      <c r="O258" s="75"/>
    </row>
    <row r="259" spans="1:15" ht="15.6">
      <c r="A259" s="457">
        <v>46086</v>
      </c>
      <c r="B259" s="242" t="s">
        <v>1027</v>
      </c>
      <c r="C259" s="170" t="s">
        <v>337</v>
      </c>
      <c r="D259" s="242" t="s">
        <v>259</v>
      </c>
      <c r="E259" s="242">
        <v>500</v>
      </c>
      <c r="F259" s="454">
        <f t="shared" si="4"/>
        <v>0.93386376795353099</v>
      </c>
      <c r="G259" s="239">
        <v>535.41</v>
      </c>
      <c r="H259" s="242" t="s">
        <v>122</v>
      </c>
      <c r="I259" s="242" t="s">
        <v>594</v>
      </c>
      <c r="J259" s="170" t="s">
        <v>96</v>
      </c>
      <c r="K259" s="170" t="s">
        <v>345</v>
      </c>
      <c r="L259" s="170" t="s">
        <v>113</v>
      </c>
      <c r="M259" s="75"/>
      <c r="N259" s="75"/>
      <c r="O259" s="75"/>
    </row>
    <row r="260" spans="1:15" ht="15.6">
      <c r="A260" s="457">
        <v>46086</v>
      </c>
      <c r="B260" s="242" t="s">
        <v>1031</v>
      </c>
      <c r="C260" s="170" t="s">
        <v>337</v>
      </c>
      <c r="D260" s="242" t="s">
        <v>259</v>
      </c>
      <c r="E260" s="242">
        <v>500</v>
      </c>
      <c r="F260" s="454">
        <f t="shared" si="4"/>
        <v>0.93386376795353099</v>
      </c>
      <c r="G260" s="239">
        <v>535.41</v>
      </c>
      <c r="H260" s="242" t="s">
        <v>122</v>
      </c>
      <c r="I260" s="242" t="s">
        <v>594</v>
      </c>
      <c r="J260" s="170" t="s">
        <v>96</v>
      </c>
      <c r="K260" s="170" t="s">
        <v>345</v>
      </c>
      <c r="L260" s="170" t="s">
        <v>113</v>
      </c>
      <c r="M260" s="75"/>
      <c r="N260" s="75"/>
      <c r="O260" s="75"/>
    </row>
    <row r="261" spans="1:15" ht="15.6">
      <c r="A261" s="457">
        <v>46086</v>
      </c>
      <c r="B261" s="242" t="s">
        <v>1027</v>
      </c>
      <c r="C261" s="170" t="s">
        <v>337</v>
      </c>
      <c r="D261" s="242" t="s">
        <v>259</v>
      </c>
      <c r="E261" s="242">
        <v>500</v>
      </c>
      <c r="F261" s="454">
        <f t="shared" si="4"/>
        <v>0.93386376795353099</v>
      </c>
      <c r="G261" s="239">
        <v>535.41</v>
      </c>
      <c r="H261" s="242" t="s">
        <v>122</v>
      </c>
      <c r="I261" s="242" t="s">
        <v>594</v>
      </c>
      <c r="J261" s="170" t="s">
        <v>96</v>
      </c>
      <c r="K261" s="170" t="s">
        <v>345</v>
      </c>
      <c r="L261" s="170" t="s">
        <v>113</v>
      </c>
      <c r="M261" s="75"/>
      <c r="N261" s="75"/>
      <c r="O261" s="75"/>
    </row>
    <row r="262" spans="1:15" ht="15.6">
      <c r="A262" s="457">
        <v>46086</v>
      </c>
      <c r="B262" s="242" t="s">
        <v>1031</v>
      </c>
      <c r="C262" s="170" t="s">
        <v>337</v>
      </c>
      <c r="D262" s="242" t="s">
        <v>259</v>
      </c>
      <c r="E262" s="242">
        <v>500</v>
      </c>
      <c r="F262" s="454">
        <f t="shared" si="4"/>
        <v>0.93386376795353099</v>
      </c>
      <c r="G262" s="239">
        <v>535.41</v>
      </c>
      <c r="H262" s="242" t="s">
        <v>122</v>
      </c>
      <c r="I262" s="242" t="s">
        <v>594</v>
      </c>
      <c r="J262" s="170" t="s">
        <v>96</v>
      </c>
      <c r="K262" s="170" t="s">
        <v>345</v>
      </c>
      <c r="L262" s="170" t="s">
        <v>113</v>
      </c>
      <c r="M262" s="75"/>
      <c r="N262" s="75"/>
      <c r="O262" s="75"/>
    </row>
    <row r="263" spans="1:15" ht="15.6">
      <c r="A263" s="457">
        <v>46086</v>
      </c>
      <c r="B263" s="242" t="s">
        <v>540</v>
      </c>
      <c r="C263" s="242" t="s">
        <v>587</v>
      </c>
      <c r="D263" s="242" t="s">
        <v>259</v>
      </c>
      <c r="E263" s="242">
        <v>1650</v>
      </c>
      <c r="F263" s="454">
        <f t="shared" si="4"/>
        <v>3.0817504342466524</v>
      </c>
      <c r="G263" s="239">
        <v>535.41</v>
      </c>
      <c r="H263" s="242" t="s">
        <v>122</v>
      </c>
      <c r="I263" s="242" t="s">
        <v>596</v>
      </c>
      <c r="J263" s="170" t="s">
        <v>96</v>
      </c>
      <c r="K263" s="170" t="s">
        <v>345</v>
      </c>
      <c r="L263" s="170" t="s">
        <v>113</v>
      </c>
      <c r="M263" s="75"/>
      <c r="N263" s="75"/>
      <c r="O263" s="75"/>
    </row>
    <row r="264" spans="1:15" ht="15.6">
      <c r="A264" s="457">
        <v>46086</v>
      </c>
      <c r="B264" s="242" t="s">
        <v>1031</v>
      </c>
      <c r="C264" s="170" t="s">
        <v>337</v>
      </c>
      <c r="D264" s="242" t="s">
        <v>259</v>
      </c>
      <c r="E264" s="242">
        <v>500</v>
      </c>
      <c r="F264" s="454">
        <f t="shared" si="4"/>
        <v>0.93386376795353099</v>
      </c>
      <c r="G264" s="239">
        <v>535.41</v>
      </c>
      <c r="H264" s="242" t="s">
        <v>122</v>
      </c>
      <c r="I264" s="242" t="s">
        <v>594</v>
      </c>
      <c r="J264" s="170" t="s">
        <v>96</v>
      </c>
      <c r="K264" s="170" t="s">
        <v>345</v>
      </c>
      <c r="L264" s="170" t="s">
        <v>113</v>
      </c>
      <c r="M264" s="75"/>
      <c r="N264" s="75"/>
      <c r="O264" s="75"/>
    </row>
    <row r="265" spans="1:15" ht="15.6">
      <c r="A265" s="457">
        <v>46086</v>
      </c>
      <c r="B265" s="170" t="s">
        <v>1034</v>
      </c>
      <c r="C265" s="242" t="s">
        <v>406</v>
      </c>
      <c r="D265" s="242" t="s">
        <v>259</v>
      </c>
      <c r="E265" s="242">
        <v>30000</v>
      </c>
      <c r="F265" s="454">
        <f t="shared" si="4"/>
        <v>56.031826077211861</v>
      </c>
      <c r="G265" s="239">
        <v>535.41</v>
      </c>
      <c r="H265" s="242" t="s">
        <v>122</v>
      </c>
      <c r="I265" s="242" t="s">
        <v>599</v>
      </c>
      <c r="J265" s="170" t="s">
        <v>96</v>
      </c>
      <c r="K265" s="170" t="s">
        <v>345</v>
      </c>
      <c r="L265" s="170" t="s">
        <v>113</v>
      </c>
      <c r="M265" s="75"/>
      <c r="N265" s="75"/>
      <c r="O265" s="75"/>
    </row>
    <row r="266" spans="1:15" ht="15.6">
      <c r="A266" s="457">
        <v>46086</v>
      </c>
      <c r="B266" s="242" t="s">
        <v>1035</v>
      </c>
      <c r="C266" s="242" t="s">
        <v>402</v>
      </c>
      <c r="D266" s="242" t="s">
        <v>259</v>
      </c>
      <c r="E266" s="242">
        <v>7000</v>
      </c>
      <c r="F266" s="454">
        <f t="shared" si="4"/>
        <v>13.074092751349434</v>
      </c>
      <c r="G266" s="239">
        <v>535.41</v>
      </c>
      <c r="H266" s="242" t="s">
        <v>122</v>
      </c>
      <c r="I266" s="242" t="s">
        <v>600</v>
      </c>
      <c r="J266" s="170" t="s">
        <v>96</v>
      </c>
      <c r="K266" s="170" t="s">
        <v>345</v>
      </c>
      <c r="L266" s="170" t="s">
        <v>113</v>
      </c>
      <c r="M266" s="75"/>
      <c r="N266" s="75"/>
      <c r="O266" s="75"/>
    </row>
    <row r="267" spans="1:15" ht="15.6">
      <c r="A267" s="457">
        <v>46086</v>
      </c>
      <c r="B267" s="242" t="s">
        <v>1027</v>
      </c>
      <c r="C267" s="170" t="s">
        <v>337</v>
      </c>
      <c r="D267" s="242" t="s">
        <v>259</v>
      </c>
      <c r="E267" s="242">
        <v>500</v>
      </c>
      <c r="F267" s="454">
        <f t="shared" si="4"/>
        <v>0.93386376795353099</v>
      </c>
      <c r="G267" s="239">
        <v>535.41</v>
      </c>
      <c r="H267" s="242" t="s">
        <v>131</v>
      </c>
      <c r="I267" s="242" t="s">
        <v>653</v>
      </c>
      <c r="J267" s="170" t="s">
        <v>96</v>
      </c>
      <c r="K267" s="170" t="s">
        <v>345</v>
      </c>
      <c r="L267" s="170" t="s">
        <v>113</v>
      </c>
      <c r="M267" s="75"/>
      <c r="N267" s="75"/>
      <c r="O267" s="75"/>
    </row>
    <row r="268" spans="1:15" ht="15.6">
      <c r="A268" s="457">
        <v>46086</v>
      </c>
      <c r="B268" s="242" t="s">
        <v>1036</v>
      </c>
      <c r="C268" s="242" t="s">
        <v>647</v>
      </c>
      <c r="D268" s="242" t="s">
        <v>259</v>
      </c>
      <c r="E268" s="242">
        <v>2000</v>
      </c>
      <c r="F268" s="454">
        <f t="shared" si="4"/>
        <v>3.735455071814124</v>
      </c>
      <c r="G268" s="239">
        <v>535.41</v>
      </c>
      <c r="H268" s="242" t="s">
        <v>131</v>
      </c>
      <c r="I268" s="242" t="s">
        <v>658</v>
      </c>
      <c r="J268" s="170" t="s">
        <v>96</v>
      </c>
      <c r="K268" s="170" t="s">
        <v>345</v>
      </c>
      <c r="L268" s="170" t="s">
        <v>113</v>
      </c>
      <c r="M268" s="75"/>
      <c r="N268" s="75"/>
      <c r="O268" s="75"/>
    </row>
    <row r="269" spans="1:15" ht="15.6">
      <c r="A269" s="470">
        <v>46086</v>
      </c>
      <c r="B269" s="472" t="s">
        <v>1031</v>
      </c>
      <c r="C269" s="170" t="s">
        <v>337</v>
      </c>
      <c r="D269" s="472" t="s">
        <v>259</v>
      </c>
      <c r="E269" s="472">
        <v>500</v>
      </c>
      <c r="F269" s="454">
        <f t="shared" si="4"/>
        <v>0.93386376795353099</v>
      </c>
      <c r="G269" s="239">
        <v>535.41</v>
      </c>
      <c r="H269" s="472" t="s">
        <v>131</v>
      </c>
      <c r="I269" s="242" t="s">
        <v>653</v>
      </c>
      <c r="J269" s="170" t="s">
        <v>96</v>
      </c>
      <c r="K269" s="170" t="s">
        <v>345</v>
      </c>
      <c r="L269" s="170" t="s">
        <v>113</v>
      </c>
      <c r="M269" s="75"/>
      <c r="N269" s="75"/>
      <c r="O269" s="75"/>
    </row>
    <row r="270" spans="1:15" ht="15.6">
      <c r="A270" s="457">
        <v>46086</v>
      </c>
      <c r="B270" s="242" t="s">
        <v>1027</v>
      </c>
      <c r="C270" s="170" t="s">
        <v>337</v>
      </c>
      <c r="D270" s="242" t="s">
        <v>259</v>
      </c>
      <c r="E270" s="242">
        <v>500</v>
      </c>
      <c r="F270" s="454">
        <f t="shared" si="4"/>
        <v>0.93386376795353099</v>
      </c>
      <c r="G270" s="239">
        <v>535.41</v>
      </c>
      <c r="H270" s="242" t="s">
        <v>131</v>
      </c>
      <c r="I270" s="242" t="s">
        <v>653</v>
      </c>
      <c r="J270" s="170" t="s">
        <v>96</v>
      </c>
      <c r="K270" s="170" t="s">
        <v>345</v>
      </c>
      <c r="L270" s="170" t="s">
        <v>113</v>
      </c>
      <c r="M270" s="75"/>
      <c r="N270" s="75"/>
      <c r="O270" s="75"/>
    </row>
    <row r="271" spans="1:15" ht="15.6">
      <c r="A271" s="457">
        <v>46086</v>
      </c>
      <c r="B271" s="242" t="s">
        <v>1027</v>
      </c>
      <c r="C271" s="170" t="s">
        <v>337</v>
      </c>
      <c r="D271" s="242" t="s">
        <v>259</v>
      </c>
      <c r="E271" s="242">
        <v>500</v>
      </c>
      <c r="F271" s="454">
        <f t="shared" si="4"/>
        <v>0.93386376795353099</v>
      </c>
      <c r="G271" s="239">
        <v>535.41</v>
      </c>
      <c r="H271" s="242" t="s">
        <v>131</v>
      </c>
      <c r="I271" s="242" t="s">
        <v>653</v>
      </c>
      <c r="J271" s="170" t="s">
        <v>96</v>
      </c>
      <c r="K271" s="170" t="s">
        <v>345</v>
      </c>
      <c r="L271" s="170" t="s">
        <v>113</v>
      </c>
      <c r="M271" s="75"/>
      <c r="N271" s="75"/>
      <c r="O271" s="75"/>
    </row>
    <row r="272" spans="1:15" ht="15.6">
      <c r="A272" s="457">
        <v>46086</v>
      </c>
      <c r="B272" s="242" t="s">
        <v>1027</v>
      </c>
      <c r="C272" s="170" t="s">
        <v>337</v>
      </c>
      <c r="D272" s="242" t="s">
        <v>259</v>
      </c>
      <c r="E272" s="242">
        <v>500</v>
      </c>
      <c r="F272" s="454">
        <f t="shared" si="4"/>
        <v>0.93386376795353099</v>
      </c>
      <c r="G272" s="239">
        <v>535.41</v>
      </c>
      <c r="H272" s="242" t="s">
        <v>131</v>
      </c>
      <c r="I272" s="242" t="s">
        <v>653</v>
      </c>
      <c r="J272" s="170" t="s">
        <v>96</v>
      </c>
      <c r="K272" s="170" t="s">
        <v>345</v>
      </c>
      <c r="L272" s="170" t="s">
        <v>113</v>
      </c>
      <c r="M272" s="75"/>
      <c r="N272" s="75"/>
      <c r="O272" s="75"/>
    </row>
    <row r="273" spans="1:15" ht="15.6">
      <c r="A273" s="470">
        <v>46087</v>
      </c>
      <c r="B273" s="472" t="s">
        <v>186</v>
      </c>
      <c r="C273" s="170" t="s">
        <v>337</v>
      </c>
      <c r="D273" s="474" t="s">
        <v>99</v>
      </c>
      <c r="E273" s="472">
        <v>1000</v>
      </c>
      <c r="F273" s="454">
        <f t="shared" si="4"/>
        <v>1.8771635173931283</v>
      </c>
      <c r="G273" s="239">
        <v>532.71864210781655</v>
      </c>
      <c r="H273" s="478" t="s">
        <v>111</v>
      </c>
      <c r="I273" s="451" t="s">
        <v>380</v>
      </c>
      <c r="J273" s="170" t="s">
        <v>96</v>
      </c>
      <c r="K273" s="170" t="s">
        <v>345</v>
      </c>
      <c r="L273" s="170" t="s">
        <v>113</v>
      </c>
      <c r="M273" s="361"/>
      <c r="N273" s="361"/>
      <c r="O273" s="247"/>
    </row>
    <row r="274" spans="1:15" ht="15.6">
      <c r="A274" s="457">
        <v>46087</v>
      </c>
      <c r="B274" s="242" t="s">
        <v>357</v>
      </c>
      <c r="C274" s="170" t="s">
        <v>337</v>
      </c>
      <c r="D274" s="458" t="s">
        <v>99</v>
      </c>
      <c r="E274" s="242">
        <v>1000</v>
      </c>
      <c r="F274" s="454">
        <f t="shared" si="4"/>
        <v>1.8771635173931283</v>
      </c>
      <c r="G274" s="239">
        <v>532.71864210781655</v>
      </c>
      <c r="H274" s="459" t="s">
        <v>111</v>
      </c>
      <c r="I274" s="170" t="s">
        <v>380</v>
      </c>
      <c r="J274" s="170" t="s">
        <v>96</v>
      </c>
      <c r="K274" s="170" t="s">
        <v>345</v>
      </c>
      <c r="L274" s="170" t="s">
        <v>113</v>
      </c>
      <c r="M274" s="361"/>
      <c r="N274" s="361"/>
      <c r="O274" s="247"/>
    </row>
    <row r="275" spans="1:15" ht="15.6">
      <c r="A275" s="457">
        <v>46087</v>
      </c>
      <c r="B275" s="242" t="s">
        <v>358</v>
      </c>
      <c r="C275" s="170" t="s">
        <v>337</v>
      </c>
      <c r="D275" s="458" t="s">
        <v>99</v>
      </c>
      <c r="E275" s="242">
        <v>1000</v>
      </c>
      <c r="F275" s="454">
        <f t="shared" si="4"/>
        <v>1.8771635173931283</v>
      </c>
      <c r="G275" s="239">
        <v>532.71864210781655</v>
      </c>
      <c r="H275" s="459" t="s">
        <v>111</v>
      </c>
      <c r="I275" s="170" t="s">
        <v>380</v>
      </c>
      <c r="J275" s="170" t="s">
        <v>96</v>
      </c>
      <c r="K275" s="170" t="s">
        <v>345</v>
      </c>
      <c r="L275" s="170" t="s">
        <v>113</v>
      </c>
      <c r="M275" s="361"/>
      <c r="N275" s="361"/>
      <c r="O275" s="247"/>
    </row>
    <row r="276" spans="1:15" ht="15.6">
      <c r="A276" s="470">
        <v>46087</v>
      </c>
      <c r="B276" s="472" t="s">
        <v>192</v>
      </c>
      <c r="C276" s="170" t="s">
        <v>337</v>
      </c>
      <c r="D276" s="474" t="s">
        <v>99</v>
      </c>
      <c r="E276" s="472">
        <v>1000</v>
      </c>
      <c r="F276" s="454">
        <f t="shared" si="4"/>
        <v>1.8771635173931283</v>
      </c>
      <c r="G276" s="239">
        <v>532.71864210781655</v>
      </c>
      <c r="H276" s="478" t="s">
        <v>111</v>
      </c>
      <c r="I276" s="170" t="s">
        <v>380</v>
      </c>
      <c r="J276" s="170" t="s">
        <v>96</v>
      </c>
      <c r="K276" s="170" t="s">
        <v>345</v>
      </c>
      <c r="L276" s="170" t="s">
        <v>113</v>
      </c>
      <c r="M276" s="361"/>
      <c r="N276" s="361"/>
      <c r="O276" s="271"/>
    </row>
    <row r="277" spans="1:15" ht="15.6">
      <c r="A277" s="428">
        <v>46087</v>
      </c>
      <c r="B277" s="429" t="s">
        <v>1033</v>
      </c>
      <c r="C277" s="170" t="s">
        <v>337</v>
      </c>
      <c r="D277" s="429" t="s">
        <v>259</v>
      </c>
      <c r="E277" s="429">
        <v>1500</v>
      </c>
      <c r="F277" s="454">
        <f t="shared" si="4"/>
        <v>2.8015913038605929</v>
      </c>
      <c r="G277" s="239">
        <v>535.41</v>
      </c>
      <c r="H277" s="429" t="s">
        <v>123</v>
      </c>
      <c r="I277" s="429" t="s">
        <v>550</v>
      </c>
      <c r="J277" s="170" t="s">
        <v>96</v>
      </c>
      <c r="K277" s="170" t="s">
        <v>345</v>
      </c>
      <c r="L277" s="170" t="s">
        <v>113</v>
      </c>
      <c r="M277" s="75"/>
      <c r="N277" s="75"/>
      <c r="O277" s="75"/>
    </row>
    <row r="278" spans="1:15" ht="15.6">
      <c r="A278" s="428">
        <v>46087</v>
      </c>
      <c r="B278" s="429" t="s">
        <v>1033</v>
      </c>
      <c r="C278" s="170" t="s">
        <v>337</v>
      </c>
      <c r="D278" s="429" t="s">
        <v>259</v>
      </c>
      <c r="E278" s="429">
        <v>1000</v>
      </c>
      <c r="F278" s="454">
        <f t="shared" si="4"/>
        <v>1.867727535907062</v>
      </c>
      <c r="G278" s="239">
        <v>535.41</v>
      </c>
      <c r="H278" s="429" t="s">
        <v>123</v>
      </c>
      <c r="I278" s="429" t="s">
        <v>550</v>
      </c>
      <c r="J278" s="170" t="s">
        <v>96</v>
      </c>
      <c r="K278" s="170" t="s">
        <v>345</v>
      </c>
      <c r="L278" s="170" t="s">
        <v>113</v>
      </c>
      <c r="M278" s="75"/>
      <c r="N278" s="75"/>
      <c r="O278" s="75"/>
    </row>
    <row r="279" spans="1:15" ht="15.6">
      <c r="A279" s="428">
        <v>46087</v>
      </c>
      <c r="B279" s="429" t="s">
        <v>1033</v>
      </c>
      <c r="C279" s="170" t="s">
        <v>337</v>
      </c>
      <c r="D279" s="429" t="s">
        <v>259</v>
      </c>
      <c r="E279" s="429">
        <v>1000</v>
      </c>
      <c r="F279" s="454">
        <f t="shared" si="4"/>
        <v>1.867727535907062</v>
      </c>
      <c r="G279" s="239">
        <v>535.41</v>
      </c>
      <c r="H279" s="429" t="s">
        <v>123</v>
      </c>
      <c r="I279" s="429" t="s">
        <v>550</v>
      </c>
      <c r="J279" s="170" t="s">
        <v>96</v>
      </c>
      <c r="K279" s="170" t="s">
        <v>345</v>
      </c>
      <c r="L279" s="170" t="s">
        <v>113</v>
      </c>
      <c r="M279" s="75"/>
      <c r="N279" s="75"/>
      <c r="O279" s="75"/>
    </row>
    <row r="280" spans="1:15" ht="15.6">
      <c r="A280" s="471">
        <v>46087</v>
      </c>
      <c r="B280" s="473" t="s">
        <v>1037</v>
      </c>
      <c r="C280" s="170" t="s">
        <v>337</v>
      </c>
      <c r="D280" s="473" t="s">
        <v>259</v>
      </c>
      <c r="E280" s="473">
        <v>1000</v>
      </c>
      <c r="F280" s="454">
        <f t="shared" si="4"/>
        <v>1.867727535907062</v>
      </c>
      <c r="G280" s="239">
        <v>535.41</v>
      </c>
      <c r="H280" s="473" t="s">
        <v>123</v>
      </c>
      <c r="I280" s="473" t="s">
        <v>550</v>
      </c>
      <c r="J280" s="170" t="s">
        <v>96</v>
      </c>
      <c r="K280" s="170" t="s">
        <v>345</v>
      </c>
      <c r="L280" s="170" t="s">
        <v>113</v>
      </c>
      <c r="M280" s="75"/>
      <c r="N280" s="75"/>
      <c r="O280" s="75"/>
    </row>
    <row r="281" spans="1:15" ht="15.6">
      <c r="A281" s="428">
        <v>46087</v>
      </c>
      <c r="B281" s="429" t="s">
        <v>1038</v>
      </c>
      <c r="C281" s="170" t="s">
        <v>337</v>
      </c>
      <c r="D281" s="429" t="s">
        <v>259</v>
      </c>
      <c r="E281" s="429">
        <v>1500</v>
      </c>
      <c r="F281" s="454">
        <f t="shared" si="4"/>
        <v>2.8015913038605929</v>
      </c>
      <c r="G281" s="239">
        <v>535.41</v>
      </c>
      <c r="H281" s="429" t="s">
        <v>123</v>
      </c>
      <c r="I281" s="429" t="s">
        <v>550</v>
      </c>
      <c r="J281" s="170" t="s">
        <v>96</v>
      </c>
      <c r="K281" s="170" t="s">
        <v>345</v>
      </c>
      <c r="L281" s="170" t="s">
        <v>113</v>
      </c>
      <c r="M281" s="75"/>
      <c r="N281" s="75"/>
      <c r="O281" s="75"/>
    </row>
    <row r="282" spans="1:15" ht="15.6">
      <c r="A282" s="428">
        <v>46087</v>
      </c>
      <c r="B282" s="429" t="s">
        <v>540</v>
      </c>
      <c r="C282" s="429" t="s">
        <v>541</v>
      </c>
      <c r="D282" s="429" t="s">
        <v>259</v>
      </c>
      <c r="E282" s="429">
        <v>1000</v>
      </c>
      <c r="F282" s="454">
        <f t="shared" si="4"/>
        <v>1.867727535907062</v>
      </c>
      <c r="G282" s="239">
        <v>535.41</v>
      </c>
      <c r="H282" s="429" t="s">
        <v>123</v>
      </c>
      <c r="I282" s="429" t="s">
        <v>551</v>
      </c>
      <c r="J282" s="170" t="s">
        <v>96</v>
      </c>
      <c r="K282" s="170" t="s">
        <v>345</v>
      </c>
      <c r="L282" s="170" t="s">
        <v>113</v>
      </c>
      <c r="M282" s="75"/>
      <c r="N282" s="75"/>
      <c r="O282" s="75"/>
    </row>
    <row r="283" spans="1:15" ht="15.6">
      <c r="A283" s="457">
        <v>46087</v>
      </c>
      <c r="B283" s="472" t="s">
        <v>1031</v>
      </c>
      <c r="C283" s="170" t="s">
        <v>337</v>
      </c>
      <c r="D283" s="242" t="s">
        <v>259</v>
      </c>
      <c r="E283" s="242">
        <v>500</v>
      </c>
      <c r="F283" s="454">
        <f t="shared" si="4"/>
        <v>0.93386376795353099</v>
      </c>
      <c r="G283" s="239">
        <v>535.41</v>
      </c>
      <c r="H283" s="242" t="s">
        <v>122</v>
      </c>
      <c r="I283" s="472" t="s">
        <v>594</v>
      </c>
      <c r="J283" s="170" t="s">
        <v>96</v>
      </c>
      <c r="K283" s="170" t="s">
        <v>345</v>
      </c>
      <c r="L283" s="170" t="s">
        <v>113</v>
      </c>
      <c r="M283" s="75"/>
      <c r="N283" s="75"/>
      <c r="O283" s="75"/>
    </row>
    <row r="284" spans="1:15" ht="15.6">
      <c r="A284" s="457">
        <v>46087</v>
      </c>
      <c r="B284" s="242" t="s">
        <v>1027</v>
      </c>
      <c r="C284" s="170" t="s">
        <v>337</v>
      </c>
      <c r="D284" s="242" t="s">
        <v>259</v>
      </c>
      <c r="E284" s="242">
        <v>500</v>
      </c>
      <c r="F284" s="454">
        <f t="shared" si="4"/>
        <v>0.93386376795353099</v>
      </c>
      <c r="G284" s="239">
        <v>535.41</v>
      </c>
      <c r="H284" s="242" t="s">
        <v>122</v>
      </c>
      <c r="I284" s="242" t="s">
        <v>594</v>
      </c>
      <c r="J284" s="170" t="s">
        <v>96</v>
      </c>
      <c r="K284" s="170" t="s">
        <v>345</v>
      </c>
      <c r="L284" s="170" t="s">
        <v>113</v>
      </c>
      <c r="M284" s="75"/>
      <c r="N284" s="75"/>
      <c r="O284" s="75"/>
    </row>
    <row r="285" spans="1:15" ht="15.6">
      <c r="A285" s="457">
        <v>46087</v>
      </c>
      <c r="B285" s="242" t="s">
        <v>1027</v>
      </c>
      <c r="C285" s="170" t="s">
        <v>337</v>
      </c>
      <c r="D285" s="242" t="s">
        <v>259</v>
      </c>
      <c r="E285" s="242">
        <v>500</v>
      </c>
      <c r="F285" s="454">
        <f t="shared" si="4"/>
        <v>0.93386376795353099</v>
      </c>
      <c r="G285" s="239">
        <v>535.41</v>
      </c>
      <c r="H285" s="242" t="s">
        <v>122</v>
      </c>
      <c r="I285" s="242" t="s">
        <v>594</v>
      </c>
      <c r="J285" s="170" t="s">
        <v>96</v>
      </c>
      <c r="K285" s="170" t="s">
        <v>345</v>
      </c>
      <c r="L285" s="170" t="s">
        <v>113</v>
      </c>
      <c r="M285" s="75"/>
      <c r="N285" s="75"/>
      <c r="O285" s="75"/>
    </row>
    <row r="286" spans="1:15" ht="15.6">
      <c r="A286" s="457">
        <v>46087</v>
      </c>
      <c r="B286" s="242" t="s">
        <v>1027</v>
      </c>
      <c r="C286" s="170" t="s">
        <v>337</v>
      </c>
      <c r="D286" s="242" t="s">
        <v>259</v>
      </c>
      <c r="E286" s="242">
        <v>500</v>
      </c>
      <c r="F286" s="454">
        <f t="shared" si="4"/>
        <v>0.93386376795353099</v>
      </c>
      <c r="G286" s="239">
        <v>535.41</v>
      </c>
      <c r="H286" s="242" t="s">
        <v>122</v>
      </c>
      <c r="I286" s="242" t="s">
        <v>594</v>
      </c>
      <c r="J286" s="170" t="s">
        <v>96</v>
      </c>
      <c r="K286" s="170" t="s">
        <v>345</v>
      </c>
      <c r="L286" s="170" t="s">
        <v>113</v>
      </c>
      <c r="M286" s="75"/>
      <c r="N286" s="75"/>
      <c r="O286" s="75"/>
    </row>
    <row r="287" spans="1:15" ht="15.6">
      <c r="A287" s="470">
        <v>46087</v>
      </c>
      <c r="B287" s="472" t="s">
        <v>1027</v>
      </c>
      <c r="C287" s="170" t="s">
        <v>337</v>
      </c>
      <c r="D287" s="472" t="s">
        <v>259</v>
      </c>
      <c r="E287" s="472">
        <v>500</v>
      </c>
      <c r="F287" s="454">
        <f t="shared" ref="F287:F350" si="5">E287/G287</f>
        <v>0.93386376795353099</v>
      </c>
      <c r="G287" s="239">
        <v>535.41</v>
      </c>
      <c r="H287" s="472" t="s">
        <v>122</v>
      </c>
      <c r="I287" s="242" t="s">
        <v>594</v>
      </c>
      <c r="J287" s="170" t="s">
        <v>96</v>
      </c>
      <c r="K287" s="170" t="s">
        <v>345</v>
      </c>
      <c r="L287" s="170" t="s">
        <v>113</v>
      </c>
      <c r="M287" s="75"/>
      <c r="N287" s="75"/>
      <c r="O287" s="75"/>
    </row>
    <row r="288" spans="1:15" ht="15.6">
      <c r="A288" s="453">
        <v>46087</v>
      </c>
      <c r="B288" s="170" t="s">
        <v>1039</v>
      </c>
      <c r="C288" s="170" t="s">
        <v>542</v>
      </c>
      <c r="D288" s="170" t="s">
        <v>259</v>
      </c>
      <c r="E288" s="170">
        <v>30000</v>
      </c>
      <c r="F288" s="454">
        <f t="shared" si="5"/>
        <v>56.031826077211861</v>
      </c>
      <c r="G288" s="239">
        <v>535.41</v>
      </c>
      <c r="H288" s="170" t="s">
        <v>131</v>
      </c>
      <c r="I288" s="170" t="s">
        <v>660</v>
      </c>
      <c r="J288" s="170" t="s">
        <v>96</v>
      </c>
      <c r="K288" s="170" t="s">
        <v>345</v>
      </c>
      <c r="L288" s="170" t="s">
        <v>113</v>
      </c>
      <c r="M288" s="75"/>
      <c r="N288" s="75"/>
      <c r="O288" s="75"/>
    </row>
    <row r="289" spans="1:15" ht="15.6">
      <c r="A289" s="457">
        <v>46087</v>
      </c>
      <c r="B289" s="242" t="s">
        <v>1027</v>
      </c>
      <c r="C289" s="170" t="s">
        <v>337</v>
      </c>
      <c r="D289" s="242" t="s">
        <v>259</v>
      </c>
      <c r="E289" s="242">
        <v>500</v>
      </c>
      <c r="F289" s="454">
        <f t="shared" si="5"/>
        <v>0.93386376795353099</v>
      </c>
      <c r="G289" s="239">
        <v>535.41</v>
      </c>
      <c r="H289" s="242" t="s">
        <v>131</v>
      </c>
      <c r="I289" s="242" t="s">
        <v>653</v>
      </c>
      <c r="J289" s="170" t="s">
        <v>96</v>
      </c>
      <c r="K289" s="170" t="s">
        <v>345</v>
      </c>
      <c r="L289" s="170" t="s">
        <v>113</v>
      </c>
      <c r="M289" s="75"/>
      <c r="N289" s="75"/>
      <c r="O289" s="75"/>
    </row>
    <row r="290" spans="1:15" ht="15.6">
      <c r="A290" s="453">
        <v>46087</v>
      </c>
      <c r="B290" s="170" t="s">
        <v>1028</v>
      </c>
      <c r="C290" s="242" t="s">
        <v>402</v>
      </c>
      <c r="D290" s="170" t="s">
        <v>259</v>
      </c>
      <c r="E290" s="170">
        <v>5000</v>
      </c>
      <c r="F290" s="454">
        <f t="shared" si="5"/>
        <v>9.3386376795353101</v>
      </c>
      <c r="G290" s="239">
        <v>535.41</v>
      </c>
      <c r="H290" s="170" t="s">
        <v>131</v>
      </c>
      <c r="I290" s="170" t="s">
        <v>661</v>
      </c>
      <c r="J290" s="170" t="s">
        <v>96</v>
      </c>
      <c r="K290" s="170" t="s">
        <v>345</v>
      </c>
      <c r="L290" s="170" t="s">
        <v>113</v>
      </c>
      <c r="M290" s="75"/>
      <c r="N290" s="75"/>
      <c r="O290" s="75"/>
    </row>
    <row r="291" spans="1:15" ht="15.6">
      <c r="A291" s="457">
        <v>46087</v>
      </c>
      <c r="B291" s="242" t="s">
        <v>1027</v>
      </c>
      <c r="C291" s="170" t="s">
        <v>337</v>
      </c>
      <c r="D291" s="242" t="s">
        <v>259</v>
      </c>
      <c r="E291" s="242">
        <v>500</v>
      </c>
      <c r="F291" s="454">
        <f t="shared" si="5"/>
        <v>0.93386376795353099</v>
      </c>
      <c r="G291" s="239">
        <v>535.41</v>
      </c>
      <c r="H291" s="242" t="s">
        <v>131</v>
      </c>
      <c r="I291" s="242" t="s">
        <v>653</v>
      </c>
      <c r="J291" s="170" t="s">
        <v>96</v>
      </c>
      <c r="K291" s="170" t="s">
        <v>345</v>
      </c>
      <c r="L291" s="170" t="s">
        <v>113</v>
      </c>
      <c r="M291" s="75"/>
      <c r="N291" s="75"/>
      <c r="O291" s="75"/>
    </row>
    <row r="292" spans="1:15" ht="15.6">
      <c r="A292" s="457">
        <v>46087</v>
      </c>
      <c r="B292" s="242" t="s">
        <v>1027</v>
      </c>
      <c r="C292" s="170" t="s">
        <v>337</v>
      </c>
      <c r="D292" s="242" t="s">
        <v>259</v>
      </c>
      <c r="E292" s="242">
        <v>500</v>
      </c>
      <c r="F292" s="454">
        <f t="shared" si="5"/>
        <v>0.93386376795353099</v>
      </c>
      <c r="G292" s="239">
        <v>535.41</v>
      </c>
      <c r="H292" s="242" t="s">
        <v>131</v>
      </c>
      <c r="I292" s="242" t="s">
        <v>653</v>
      </c>
      <c r="J292" s="170" t="s">
        <v>96</v>
      </c>
      <c r="K292" s="170" t="s">
        <v>345</v>
      </c>
      <c r="L292" s="170" t="s">
        <v>113</v>
      </c>
      <c r="M292" s="75"/>
      <c r="N292" s="75"/>
      <c r="O292" s="75"/>
    </row>
    <row r="293" spans="1:15" ht="15.6">
      <c r="A293" s="457">
        <v>46087</v>
      </c>
      <c r="B293" s="242" t="s">
        <v>1027</v>
      </c>
      <c r="C293" s="170" t="s">
        <v>337</v>
      </c>
      <c r="D293" s="242" t="s">
        <v>259</v>
      </c>
      <c r="E293" s="242">
        <v>500</v>
      </c>
      <c r="F293" s="454">
        <f t="shared" si="5"/>
        <v>0.93386376795353099</v>
      </c>
      <c r="G293" s="239">
        <v>535.41</v>
      </c>
      <c r="H293" s="242" t="s">
        <v>131</v>
      </c>
      <c r="I293" s="242" t="s">
        <v>653</v>
      </c>
      <c r="J293" s="170" t="s">
        <v>96</v>
      </c>
      <c r="K293" s="170" t="s">
        <v>345</v>
      </c>
      <c r="L293" s="170" t="s">
        <v>113</v>
      </c>
      <c r="M293" s="75"/>
      <c r="N293" s="75"/>
      <c r="O293" s="75"/>
    </row>
    <row r="294" spans="1:15" ht="15.6">
      <c r="A294" s="457">
        <v>46087</v>
      </c>
      <c r="B294" s="242" t="s">
        <v>1027</v>
      </c>
      <c r="C294" s="170" t="s">
        <v>337</v>
      </c>
      <c r="D294" s="242" t="s">
        <v>259</v>
      </c>
      <c r="E294" s="242">
        <v>500</v>
      </c>
      <c r="F294" s="454">
        <f t="shared" si="5"/>
        <v>0.93386376795353099</v>
      </c>
      <c r="G294" s="239">
        <v>535.41</v>
      </c>
      <c r="H294" s="242" t="s">
        <v>131</v>
      </c>
      <c r="I294" s="242" t="s">
        <v>653</v>
      </c>
      <c r="J294" s="170" t="s">
        <v>96</v>
      </c>
      <c r="K294" s="170" t="s">
        <v>345</v>
      </c>
      <c r="L294" s="170" t="s">
        <v>113</v>
      </c>
      <c r="M294" s="75"/>
      <c r="N294" s="75"/>
      <c r="O294" s="75"/>
    </row>
    <row r="295" spans="1:15" ht="15.6">
      <c r="A295" s="457">
        <v>46087</v>
      </c>
      <c r="B295" s="242" t="s">
        <v>540</v>
      </c>
      <c r="C295" s="242" t="s">
        <v>647</v>
      </c>
      <c r="D295" s="242" t="s">
        <v>259</v>
      </c>
      <c r="E295" s="242">
        <v>1500</v>
      </c>
      <c r="F295" s="454">
        <f t="shared" si="5"/>
        <v>2.8015913038605929</v>
      </c>
      <c r="G295" s="239">
        <v>535.41</v>
      </c>
      <c r="H295" s="242" t="s">
        <v>131</v>
      </c>
      <c r="I295" s="242" t="s">
        <v>658</v>
      </c>
      <c r="J295" s="170" t="s">
        <v>96</v>
      </c>
      <c r="K295" s="170" t="s">
        <v>345</v>
      </c>
      <c r="L295" s="170" t="s">
        <v>113</v>
      </c>
      <c r="M295" s="75"/>
      <c r="N295" s="75"/>
      <c r="O295" s="75"/>
    </row>
    <row r="296" spans="1:15" ht="15.6">
      <c r="A296" s="457">
        <v>46087</v>
      </c>
      <c r="B296" s="242" t="s">
        <v>1027</v>
      </c>
      <c r="C296" s="170" t="s">
        <v>337</v>
      </c>
      <c r="D296" s="242" t="s">
        <v>259</v>
      </c>
      <c r="E296" s="242">
        <v>500</v>
      </c>
      <c r="F296" s="454">
        <f t="shared" si="5"/>
        <v>0.93386376795353099</v>
      </c>
      <c r="G296" s="239">
        <v>535.41</v>
      </c>
      <c r="H296" s="242" t="s">
        <v>131</v>
      </c>
      <c r="I296" s="242" t="s">
        <v>653</v>
      </c>
      <c r="J296" s="170" t="s">
        <v>96</v>
      </c>
      <c r="K296" s="170" t="s">
        <v>345</v>
      </c>
      <c r="L296" s="170" t="s">
        <v>113</v>
      </c>
      <c r="M296" s="75"/>
      <c r="N296" s="75"/>
      <c r="O296" s="75"/>
    </row>
    <row r="297" spans="1:15" ht="15.6">
      <c r="A297" s="457">
        <v>46087</v>
      </c>
      <c r="B297" s="242" t="s">
        <v>1031</v>
      </c>
      <c r="C297" s="170" t="s">
        <v>337</v>
      </c>
      <c r="D297" s="242" t="s">
        <v>259</v>
      </c>
      <c r="E297" s="242">
        <v>500</v>
      </c>
      <c r="F297" s="454">
        <f t="shared" si="5"/>
        <v>0.93386376795353099</v>
      </c>
      <c r="G297" s="239">
        <v>535.41</v>
      </c>
      <c r="H297" s="242" t="s">
        <v>131</v>
      </c>
      <c r="I297" s="242" t="s">
        <v>653</v>
      </c>
      <c r="J297" s="170" t="s">
        <v>96</v>
      </c>
      <c r="K297" s="170" t="s">
        <v>345</v>
      </c>
      <c r="L297" s="170" t="s">
        <v>113</v>
      </c>
      <c r="M297" s="75"/>
      <c r="N297" s="75"/>
      <c r="O297" s="75"/>
    </row>
    <row r="298" spans="1:15" ht="15.6">
      <c r="A298" s="428">
        <v>46088</v>
      </c>
      <c r="B298" s="429" t="s">
        <v>1033</v>
      </c>
      <c r="C298" s="170" t="s">
        <v>337</v>
      </c>
      <c r="D298" s="429" t="s">
        <v>259</v>
      </c>
      <c r="E298" s="429">
        <v>1500</v>
      </c>
      <c r="F298" s="454">
        <f t="shared" si="5"/>
        <v>2.8015913038605929</v>
      </c>
      <c r="G298" s="239">
        <v>535.41</v>
      </c>
      <c r="H298" s="429" t="s">
        <v>123</v>
      </c>
      <c r="I298" s="429" t="s">
        <v>550</v>
      </c>
      <c r="J298" s="170" t="s">
        <v>96</v>
      </c>
      <c r="K298" s="170" t="s">
        <v>345</v>
      </c>
      <c r="L298" s="170" t="s">
        <v>113</v>
      </c>
      <c r="M298" s="75"/>
      <c r="N298" s="75"/>
      <c r="O298" s="75"/>
    </row>
    <row r="299" spans="1:15" ht="15.6">
      <c r="A299" s="428">
        <v>46088</v>
      </c>
      <c r="B299" s="429" t="s">
        <v>1033</v>
      </c>
      <c r="C299" s="170" t="s">
        <v>337</v>
      </c>
      <c r="D299" s="429" t="s">
        <v>259</v>
      </c>
      <c r="E299" s="429">
        <v>1000</v>
      </c>
      <c r="F299" s="454">
        <f t="shared" si="5"/>
        <v>1.867727535907062</v>
      </c>
      <c r="G299" s="239">
        <v>535.41</v>
      </c>
      <c r="H299" s="429" t="s">
        <v>123</v>
      </c>
      <c r="I299" s="429" t="s">
        <v>550</v>
      </c>
      <c r="J299" s="170" t="s">
        <v>96</v>
      </c>
      <c r="K299" s="170" t="s">
        <v>345</v>
      </c>
      <c r="L299" s="170" t="s">
        <v>113</v>
      </c>
      <c r="M299" s="75"/>
      <c r="N299" s="75"/>
      <c r="O299" s="75"/>
    </row>
    <row r="300" spans="1:15" ht="15.6">
      <c r="A300" s="428">
        <v>46088</v>
      </c>
      <c r="B300" s="429" t="s">
        <v>1033</v>
      </c>
      <c r="C300" s="170" t="s">
        <v>337</v>
      </c>
      <c r="D300" s="429" t="s">
        <v>259</v>
      </c>
      <c r="E300" s="429">
        <v>1000</v>
      </c>
      <c r="F300" s="454">
        <f t="shared" si="5"/>
        <v>1.867727535907062</v>
      </c>
      <c r="G300" s="239">
        <v>535.41</v>
      </c>
      <c r="H300" s="429" t="s">
        <v>123</v>
      </c>
      <c r="I300" s="429" t="s">
        <v>550</v>
      </c>
      <c r="J300" s="170" t="s">
        <v>96</v>
      </c>
      <c r="K300" s="170" t="s">
        <v>345</v>
      </c>
      <c r="L300" s="170" t="s">
        <v>113</v>
      </c>
      <c r="M300" s="75"/>
      <c r="N300" s="75"/>
      <c r="O300" s="75"/>
    </row>
    <row r="301" spans="1:15" ht="15.6">
      <c r="A301" s="428">
        <v>46088</v>
      </c>
      <c r="B301" s="429" t="s">
        <v>1033</v>
      </c>
      <c r="C301" s="170" t="s">
        <v>337</v>
      </c>
      <c r="D301" s="429" t="s">
        <v>259</v>
      </c>
      <c r="E301" s="429">
        <v>1000</v>
      </c>
      <c r="F301" s="454">
        <f t="shared" si="5"/>
        <v>1.867727535907062</v>
      </c>
      <c r="G301" s="239">
        <v>535.41</v>
      </c>
      <c r="H301" s="429" t="s">
        <v>123</v>
      </c>
      <c r="I301" s="429" t="s">
        <v>550</v>
      </c>
      <c r="J301" s="170" t="s">
        <v>96</v>
      </c>
      <c r="K301" s="170" t="s">
        <v>345</v>
      </c>
      <c r="L301" s="170" t="s">
        <v>113</v>
      </c>
      <c r="M301" s="75"/>
      <c r="N301" s="75"/>
      <c r="O301" s="75"/>
    </row>
    <row r="302" spans="1:15" ht="15.6">
      <c r="A302" s="428">
        <v>46088</v>
      </c>
      <c r="B302" s="429" t="s">
        <v>1033</v>
      </c>
      <c r="C302" s="170" t="s">
        <v>337</v>
      </c>
      <c r="D302" s="429" t="s">
        <v>259</v>
      </c>
      <c r="E302" s="429">
        <v>1000</v>
      </c>
      <c r="F302" s="454">
        <f t="shared" si="5"/>
        <v>1.867727535907062</v>
      </c>
      <c r="G302" s="239">
        <v>535.41</v>
      </c>
      <c r="H302" s="429" t="s">
        <v>123</v>
      </c>
      <c r="I302" s="429" t="s">
        <v>550</v>
      </c>
      <c r="J302" s="170" t="s">
        <v>96</v>
      </c>
      <c r="K302" s="170" t="s">
        <v>345</v>
      </c>
      <c r="L302" s="170" t="s">
        <v>113</v>
      </c>
      <c r="M302" s="75"/>
      <c r="N302" s="75"/>
      <c r="O302" s="75"/>
    </row>
    <row r="303" spans="1:15" ht="15.6">
      <c r="A303" s="428">
        <v>46088</v>
      </c>
      <c r="B303" s="429" t="s">
        <v>540</v>
      </c>
      <c r="C303" s="429" t="s">
        <v>541</v>
      </c>
      <c r="D303" s="429" t="s">
        <v>259</v>
      </c>
      <c r="E303" s="429">
        <v>6000</v>
      </c>
      <c r="F303" s="454">
        <f t="shared" si="5"/>
        <v>11.206365215442371</v>
      </c>
      <c r="G303" s="239">
        <v>535.41</v>
      </c>
      <c r="H303" s="429" t="s">
        <v>123</v>
      </c>
      <c r="I303" s="429" t="s">
        <v>551</v>
      </c>
      <c r="J303" s="170" t="s">
        <v>96</v>
      </c>
      <c r="K303" s="170" t="s">
        <v>345</v>
      </c>
      <c r="L303" s="170" t="s">
        <v>113</v>
      </c>
      <c r="M303" s="75"/>
      <c r="N303" s="75"/>
      <c r="O303" s="75"/>
    </row>
    <row r="304" spans="1:15" ht="15.6">
      <c r="A304" s="457">
        <v>46088</v>
      </c>
      <c r="B304" s="242" t="s">
        <v>1027</v>
      </c>
      <c r="C304" s="170" t="s">
        <v>337</v>
      </c>
      <c r="D304" s="242" t="s">
        <v>259</v>
      </c>
      <c r="E304" s="242">
        <v>500</v>
      </c>
      <c r="F304" s="454">
        <f t="shared" si="5"/>
        <v>0.93386376795353099</v>
      </c>
      <c r="G304" s="239">
        <v>535.41</v>
      </c>
      <c r="H304" s="242" t="s">
        <v>122</v>
      </c>
      <c r="I304" s="242" t="s">
        <v>594</v>
      </c>
      <c r="J304" s="170" t="s">
        <v>96</v>
      </c>
      <c r="K304" s="170" t="s">
        <v>345</v>
      </c>
      <c r="L304" s="170" t="s">
        <v>113</v>
      </c>
      <c r="M304" s="75"/>
      <c r="N304" s="75"/>
      <c r="O304" s="75"/>
    </row>
    <row r="305" spans="1:15" ht="15.6">
      <c r="A305" s="457">
        <v>46088</v>
      </c>
      <c r="B305" s="242" t="s">
        <v>1027</v>
      </c>
      <c r="C305" s="170" t="s">
        <v>337</v>
      </c>
      <c r="D305" s="242" t="s">
        <v>259</v>
      </c>
      <c r="E305" s="242">
        <v>500</v>
      </c>
      <c r="F305" s="454">
        <f t="shared" si="5"/>
        <v>0.93386376795353099</v>
      </c>
      <c r="G305" s="239">
        <v>535.41</v>
      </c>
      <c r="H305" s="242" t="s">
        <v>122</v>
      </c>
      <c r="I305" s="242" t="s">
        <v>594</v>
      </c>
      <c r="J305" s="170" t="s">
        <v>96</v>
      </c>
      <c r="K305" s="170" t="s">
        <v>345</v>
      </c>
      <c r="L305" s="170" t="s">
        <v>113</v>
      </c>
      <c r="M305" s="75"/>
      <c r="N305" s="75"/>
      <c r="O305" s="75"/>
    </row>
    <row r="306" spans="1:15" ht="15.6">
      <c r="A306" s="457">
        <v>46088</v>
      </c>
      <c r="B306" s="242" t="s">
        <v>1027</v>
      </c>
      <c r="C306" s="170" t="s">
        <v>337</v>
      </c>
      <c r="D306" s="242" t="s">
        <v>259</v>
      </c>
      <c r="E306" s="242">
        <v>500</v>
      </c>
      <c r="F306" s="454">
        <f t="shared" si="5"/>
        <v>0.93386376795353099</v>
      </c>
      <c r="G306" s="239">
        <v>535.41</v>
      </c>
      <c r="H306" s="242" t="s">
        <v>122</v>
      </c>
      <c r="I306" s="242" t="s">
        <v>594</v>
      </c>
      <c r="J306" s="170" t="s">
        <v>96</v>
      </c>
      <c r="K306" s="170" t="s">
        <v>345</v>
      </c>
      <c r="L306" s="170" t="s">
        <v>113</v>
      </c>
      <c r="M306" s="75"/>
      <c r="N306" s="75"/>
      <c r="O306" s="75"/>
    </row>
    <row r="307" spans="1:15" ht="15.6">
      <c r="A307" s="457">
        <v>46088</v>
      </c>
      <c r="B307" s="242" t="s">
        <v>1027</v>
      </c>
      <c r="C307" s="170" t="s">
        <v>337</v>
      </c>
      <c r="D307" s="242" t="s">
        <v>259</v>
      </c>
      <c r="E307" s="242">
        <v>500</v>
      </c>
      <c r="F307" s="454">
        <f t="shared" si="5"/>
        <v>0.93386376795353099</v>
      </c>
      <c r="G307" s="239">
        <v>535.41</v>
      </c>
      <c r="H307" s="242" t="s">
        <v>122</v>
      </c>
      <c r="I307" s="242" t="s">
        <v>594</v>
      </c>
      <c r="J307" s="170" t="s">
        <v>96</v>
      </c>
      <c r="K307" s="170" t="s">
        <v>345</v>
      </c>
      <c r="L307" s="170" t="s">
        <v>113</v>
      </c>
      <c r="M307" s="75"/>
      <c r="N307" s="75"/>
      <c r="O307" s="75"/>
    </row>
    <row r="308" spans="1:15" ht="15.6">
      <c r="A308" s="457">
        <v>46088</v>
      </c>
      <c r="B308" s="242" t="s">
        <v>1027</v>
      </c>
      <c r="C308" s="170" t="s">
        <v>337</v>
      </c>
      <c r="D308" s="242" t="s">
        <v>259</v>
      </c>
      <c r="E308" s="242">
        <v>500</v>
      </c>
      <c r="F308" s="454">
        <f t="shared" si="5"/>
        <v>0.93386376795353099</v>
      </c>
      <c r="G308" s="239">
        <v>535.41</v>
      </c>
      <c r="H308" s="242" t="s">
        <v>122</v>
      </c>
      <c r="I308" s="242" t="s">
        <v>594</v>
      </c>
      <c r="J308" s="170" t="s">
        <v>96</v>
      </c>
      <c r="K308" s="170" t="s">
        <v>345</v>
      </c>
      <c r="L308" s="170" t="s">
        <v>113</v>
      </c>
      <c r="M308" s="75"/>
      <c r="N308" s="75"/>
      <c r="O308" s="75"/>
    </row>
    <row r="309" spans="1:15" ht="15.6">
      <c r="A309" s="457">
        <v>46088</v>
      </c>
      <c r="B309" s="242" t="s">
        <v>1027</v>
      </c>
      <c r="C309" s="170" t="s">
        <v>337</v>
      </c>
      <c r="D309" s="242" t="s">
        <v>259</v>
      </c>
      <c r="E309" s="242">
        <v>500</v>
      </c>
      <c r="F309" s="454">
        <f t="shared" si="5"/>
        <v>0.93386376795353099</v>
      </c>
      <c r="G309" s="239">
        <v>535.41</v>
      </c>
      <c r="H309" s="242" t="s">
        <v>122</v>
      </c>
      <c r="I309" s="242" t="s">
        <v>594</v>
      </c>
      <c r="J309" s="170" t="s">
        <v>96</v>
      </c>
      <c r="K309" s="170" t="s">
        <v>345</v>
      </c>
      <c r="L309" s="170" t="s">
        <v>113</v>
      </c>
      <c r="M309" s="75"/>
      <c r="N309" s="75"/>
      <c r="O309" s="75"/>
    </row>
    <row r="310" spans="1:15" ht="15.6">
      <c r="A310" s="457">
        <v>46088</v>
      </c>
      <c r="B310" s="242" t="s">
        <v>1040</v>
      </c>
      <c r="C310" s="242" t="s">
        <v>402</v>
      </c>
      <c r="D310" s="242" t="s">
        <v>259</v>
      </c>
      <c r="E310" s="242">
        <v>12000</v>
      </c>
      <c r="F310" s="454">
        <f t="shared" si="5"/>
        <v>22.412730430884743</v>
      </c>
      <c r="G310" s="239">
        <v>535.41</v>
      </c>
      <c r="H310" s="242" t="s">
        <v>122</v>
      </c>
      <c r="I310" s="242" t="s">
        <v>601</v>
      </c>
      <c r="J310" s="170" t="s">
        <v>96</v>
      </c>
      <c r="K310" s="170" t="s">
        <v>345</v>
      </c>
      <c r="L310" s="170" t="s">
        <v>113</v>
      </c>
      <c r="M310" s="75"/>
      <c r="N310" s="75"/>
      <c r="O310" s="75"/>
    </row>
    <row r="311" spans="1:15" ht="15.6">
      <c r="A311" s="457">
        <v>46088</v>
      </c>
      <c r="B311" s="242" t="s">
        <v>540</v>
      </c>
      <c r="C311" s="242" t="s">
        <v>587</v>
      </c>
      <c r="D311" s="242" t="s">
        <v>259</v>
      </c>
      <c r="E311" s="242">
        <v>2000</v>
      </c>
      <c r="F311" s="454">
        <f t="shared" si="5"/>
        <v>3.735455071814124</v>
      </c>
      <c r="G311" s="239">
        <v>535.41</v>
      </c>
      <c r="H311" s="242" t="s">
        <v>122</v>
      </c>
      <c r="I311" s="242" t="s">
        <v>596</v>
      </c>
      <c r="J311" s="170" t="s">
        <v>96</v>
      </c>
      <c r="K311" s="170" t="s">
        <v>345</v>
      </c>
      <c r="L311" s="170" t="s">
        <v>113</v>
      </c>
      <c r="M311" s="75"/>
      <c r="N311" s="75"/>
      <c r="O311" s="75"/>
    </row>
    <row r="312" spans="1:15" ht="15.6">
      <c r="A312" s="457">
        <v>46088</v>
      </c>
      <c r="B312" s="242" t="s">
        <v>1027</v>
      </c>
      <c r="C312" s="170" t="s">
        <v>337</v>
      </c>
      <c r="D312" s="242" t="s">
        <v>259</v>
      </c>
      <c r="E312" s="242">
        <v>500</v>
      </c>
      <c r="F312" s="454">
        <f t="shared" si="5"/>
        <v>0.93386376795353099</v>
      </c>
      <c r="G312" s="239">
        <v>535.41</v>
      </c>
      <c r="H312" s="242" t="s">
        <v>131</v>
      </c>
      <c r="I312" s="242" t="s">
        <v>653</v>
      </c>
      <c r="J312" s="170" t="s">
        <v>96</v>
      </c>
      <c r="K312" s="170" t="s">
        <v>345</v>
      </c>
      <c r="L312" s="170" t="s">
        <v>113</v>
      </c>
      <c r="M312" s="75"/>
      <c r="N312" s="75"/>
      <c r="O312" s="75"/>
    </row>
    <row r="313" spans="1:15" ht="15.6">
      <c r="A313" s="457">
        <v>46088</v>
      </c>
      <c r="B313" s="242" t="s">
        <v>1027</v>
      </c>
      <c r="C313" s="170" t="s">
        <v>337</v>
      </c>
      <c r="D313" s="242" t="s">
        <v>259</v>
      </c>
      <c r="E313" s="242">
        <v>500</v>
      </c>
      <c r="F313" s="454">
        <f t="shared" si="5"/>
        <v>0.93386376795353099</v>
      </c>
      <c r="G313" s="239">
        <v>535.41</v>
      </c>
      <c r="H313" s="242" t="s">
        <v>131</v>
      </c>
      <c r="I313" s="242" t="s">
        <v>653</v>
      </c>
      <c r="J313" s="170" t="s">
        <v>96</v>
      </c>
      <c r="K313" s="170" t="s">
        <v>345</v>
      </c>
      <c r="L313" s="170" t="s">
        <v>113</v>
      </c>
      <c r="M313" s="75"/>
      <c r="N313" s="75"/>
      <c r="O313" s="75"/>
    </row>
    <row r="314" spans="1:15" ht="15.6">
      <c r="A314" s="457">
        <v>46088</v>
      </c>
      <c r="B314" s="242" t="s">
        <v>1041</v>
      </c>
      <c r="C314" s="242" t="s">
        <v>647</v>
      </c>
      <c r="D314" s="242" t="s">
        <v>259</v>
      </c>
      <c r="E314" s="242">
        <v>2000</v>
      </c>
      <c r="F314" s="454">
        <f t="shared" si="5"/>
        <v>3.735455071814124</v>
      </c>
      <c r="G314" s="239">
        <v>535.41</v>
      </c>
      <c r="H314" s="242" t="s">
        <v>131</v>
      </c>
      <c r="I314" s="242" t="s">
        <v>658</v>
      </c>
      <c r="J314" s="170" t="s">
        <v>96</v>
      </c>
      <c r="K314" s="170" t="s">
        <v>345</v>
      </c>
      <c r="L314" s="170" t="s">
        <v>113</v>
      </c>
      <c r="M314" s="75"/>
      <c r="N314" s="75"/>
      <c r="O314" s="75"/>
    </row>
    <row r="315" spans="1:15" ht="15.6">
      <c r="A315" s="457">
        <v>46088</v>
      </c>
      <c r="B315" s="242" t="s">
        <v>1027</v>
      </c>
      <c r="C315" s="170" t="s">
        <v>337</v>
      </c>
      <c r="D315" s="242" t="s">
        <v>259</v>
      </c>
      <c r="E315" s="242">
        <v>500</v>
      </c>
      <c r="F315" s="454">
        <f t="shared" si="5"/>
        <v>0.93386376795353099</v>
      </c>
      <c r="G315" s="239">
        <v>535.41</v>
      </c>
      <c r="H315" s="242" t="s">
        <v>131</v>
      </c>
      <c r="I315" s="242" t="s">
        <v>653</v>
      </c>
      <c r="J315" s="170" t="s">
        <v>96</v>
      </c>
      <c r="K315" s="170" t="s">
        <v>345</v>
      </c>
      <c r="L315" s="170" t="s">
        <v>113</v>
      </c>
      <c r="M315" s="75"/>
      <c r="N315" s="75"/>
      <c r="O315" s="75"/>
    </row>
    <row r="316" spans="1:15" ht="15.6">
      <c r="A316" s="457">
        <v>46088</v>
      </c>
      <c r="B316" s="242" t="s">
        <v>1031</v>
      </c>
      <c r="C316" s="170" t="s">
        <v>337</v>
      </c>
      <c r="D316" s="242" t="s">
        <v>259</v>
      </c>
      <c r="E316" s="242">
        <v>500</v>
      </c>
      <c r="F316" s="454">
        <f t="shared" si="5"/>
        <v>0.93386376795353099</v>
      </c>
      <c r="G316" s="239">
        <v>535.41</v>
      </c>
      <c r="H316" s="242" t="s">
        <v>131</v>
      </c>
      <c r="I316" s="242" t="s">
        <v>653</v>
      </c>
      <c r="J316" s="170" t="s">
        <v>96</v>
      </c>
      <c r="K316" s="170" t="s">
        <v>345</v>
      </c>
      <c r="L316" s="170" t="s">
        <v>113</v>
      </c>
      <c r="M316" s="75"/>
      <c r="N316" s="75"/>
      <c r="O316" s="75"/>
    </row>
    <row r="317" spans="1:15" ht="15.6">
      <c r="A317" s="457">
        <v>46088</v>
      </c>
      <c r="B317" s="242" t="s">
        <v>1031</v>
      </c>
      <c r="C317" s="170" t="s">
        <v>337</v>
      </c>
      <c r="D317" s="242" t="s">
        <v>259</v>
      </c>
      <c r="E317" s="242">
        <v>500</v>
      </c>
      <c r="F317" s="454">
        <f t="shared" si="5"/>
        <v>0.93386376795353099</v>
      </c>
      <c r="G317" s="239">
        <v>535.41</v>
      </c>
      <c r="H317" s="242" t="s">
        <v>131</v>
      </c>
      <c r="I317" s="242" t="s">
        <v>653</v>
      </c>
      <c r="J317" s="170" t="s">
        <v>96</v>
      </c>
      <c r="K317" s="170" t="s">
        <v>345</v>
      </c>
      <c r="L317" s="170" t="s">
        <v>113</v>
      </c>
      <c r="M317" s="75"/>
      <c r="N317" s="75"/>
      <c r="O317" s="75"/>
    </row>
    <row r="318" spans="1:15" ht="15.6">
      <c r="A318" s="457">
        <v>46089</v>
      </c>
      <c r="B318" s="170" t="s">
        <v>1034</v>
      </c>
      <c r="C318" s="242" t="s">
        <v>406</v>
      </c>
      <c r="D318" s="242" t="s">
        <v>259</v>
      </c>
      <c r="E318" s="242">
        <v>20000</v>
      </c>
      <c r="F318" s="454">
        <f t="shared" si="5"/>
        <v>37.35455071814124</v>
      </c>
      <c r="G318" s="239">
        <v>535.41</v>
      </c>
      <c r="H318" s="242" t="s">
        <v>122</v>
      </c>
      <c r="I318" s="242" t="s">
        <v>602</v>
      </c>
      <c r="J318" s="170" t="s">
        <v>96</v>
      </c>
      <c r="K318" s="170" t="s">
        <v>345</v>
      </c>
      <c r="L318" s="170" t="s">
        <v>113</v>
      </c>
      <c r="M318" s="75"/>
      <c r="N318" s="75"/>
      <c r="O318" s="75"/>
    </row>
    <row r="319" spans="1:15" ht="15.6">
      <c r="A319" s="457">
        <v>46089</v>
      </c>
      <c r="B319" s="242" t="s">
        <v>1031</v>
      </c>
      <c r="C319" s="170" t="s">
        <v>337</v>
      </c>
      <c r="D319" s="242" t="s">
        <v>259</v>
      </c>
      <c r="E319" s="242">
        <v>500</v>
      </c>
      <c r="F319" s="454">
        <f t="shared" si="5"/>
        <v>0.93386376795353099</v>
      </c>
      <c r="G319" s="239">
        <v>535.41</v>
      </c>
      <c r="H319" s="242" t="s">
        <v>122</v>
      </c>
      <c r="I319" s="242" t="s">
        <v>594</v>
      </c>
      <c r="J319" s="170" t="s">
        <v>96</v>
      </c>
      <c r="K319" s="170" t="s">
        <v>345</v>
      </c>
      <c r="L319" s="170" t="s">
        <v>113</v>
      </c>
      <c r="M319" s="75"/>
      <c r="N319" s="75"/>
      <c r="O319" s="75"/>
    </row>
    <row r="320" spans="1:15" ht="15.6">
      <c r="A320" s="457">
        <v>46089</v>
      </c>
      <c r="B320" s="242" t="s">
        <v>1031</v>
      </c>
      <c r="C320" s="170" t="s">
        <v>337</v>
      </c>
      <c r="D320" s="242" t="s">
        <v>259</v>
      </c>
      <c r="E320" s="242">
        <v>1000</v>
      </c>
      <c r="F320" s="454">
        <f t="shared" si="5"/>
        <v>1.867727535907062</v>
      </c>
      <c r="G320" s="239">
        <v>535.41</v>
      </c>
      <c r="H320" s="242" t="s">
        <v>122</v>
      </c>
      <c r="I320" s="242" t="s">
        <v>594</v>
      </c>
      <c r="J320" s="170" t="s">
        <v>96</v>
      </c>
      <c r="K320" s="170" t="s">
        <v>345</v>
      </c>
      <c r="L320" s="170" t="s">
        <v>113</v>
      </c>
      <c r="M320" s="75"/>
      <c r="N320" s="75"/>
      <c r="O320" s="75"/>
    </row>
    <row r="321" spans="1:15" ht="15.6">
      <c r="A321" s="453">
        <v>46089</v>
      </c>
      <c r="B321" s="170" t="s">
        <v>1042</v>
      </c>
      <c r="C321" s="170" t="s">
        <v>542</v>
      </c>
      <c r="D321" s="170" t="s">
        <v>259</v>
      </c>
      <c r="E321" s="170">
        <v>20000</v>
      </c>
      <c r="F321" s="454">
        <f t="shared" si="5"/>
        <v>37.35455071814124</v>
      </c>
      <c r="G321" s="239">
        <v>535.41</v>
      </c>
      <c r="H321" s="170" t="s">
        <v>131</v>
      </c>
      <c r="I321" s="170" t="s">
        <v>662</v>
      </c>
      <c r="J321" s="170" t="s">
        <v>96</v>
      </c>
      <c r="K321" s="170" t="s">
        <v>345</v>
      </c>
      <c r="L321" s="170" t="s">
        <v>113</v>
      </c>
      <c r="M321" s="75"/>
      <c r="N321" s="75"/>
      <c r="O321" s="75"/>
    </row>
    <row r="322" spans="1:15" ht="15.6">
      <c r="A322" s="457">
        <v>46089</v>
      </c>
      <c r="B322" s="242" t="s">
        <v>1027</v>
      </c>
      <c r="C322" s="170" t="s">
        <v>337</v>
      </c>
      <c r="D322" s="242" t="s">
        <v>259</v>
      </c>
      <c r="E322" s="242">
        <v>500</v>
      </c>
      <c r="F322" s="454">
        <f t="shared" si="5"/>
        <v>0.93386376795353099</v>
      </c>
      <c r="G322" s="239">
        <v>535.41</v>
      </c>
      <c r="H322" s="242" t="s">
        <v>131</v>
      </c>
      <c r="I322" s="242" t="s">
        <v>653</v>
      </c>
      <c r="J322" s="170" t="s">
        <v>96</v>
      </c>
      <c r="K322" s="170" t="s">
        <v>345</v>
      </c>
      <c r="L322" s="170" t="s">
        <v>113</v>
      </c>
      <c r="M322" s="75"/>
      <c r="N322" s="75"/>
      <c r="O322" s="75"/>
    </row>
    <row r="323" spans="1:15" ht="15.6">
      <c r="A323" s="453">
        <v>46089</v>
      </c>
      <c r="B323" s="170" t="s">
        <v>1028</v>
      </c>
      <c r="C323" s="242" t="s">
        <v>402</v>
      </c>
      <c r="D323" s="170" t="s">
        <v>259</v>
      </c>
      <c r="E323" s="170">
        <v>8000</v>
      </c>
      <c r="F323" s="454">
        <f t="shared" si="5"/>
        <v>14.941820287256496</v>
      </c>
      <c r="G323" s="239">
        <v>535.41</v>
      </c>
      <c r="H323" s="170" t="s">
        <v>131</v>
      </c>
      <c r="I323" s="170" t="s">
        <v>663</v>
      </c>
      <c r="J323" s="170" t="s">
        <v>96</v>
      </c>
      <c r="K323" s="170" t="s">
        <v>345</v>
      </c>
      <c r="L323" s="170" t="s">
        <v>113</v>
      </c>
      <c r="M323" s="75"/>
      <c r="N323" s="75"/>
      <c r="O323" s="75"/>
    </row>
    <row r="324" spans="1:15" ht="15.6">
      <c r="A324" s="457">
        <v>46089</v>
      </c>
      <c r="B324" s="242" t="s">
        <v>1025</v>
      </c>
      <c r="C324" s="170" t="s">
        <v>337</v>
      </c>
      <c r="D324" s="242" t="s">
        <v>259</v>
      </c>
      <c r="E324" s="242">
        <v>2000</v>
      </c>
      <c r="F324" s="454">
        <f t="shared" si="5"/>
        <v>3.735455071814124</v>
      </c>
      <c r="G324" s="239">
        <v>535.41</v>
      </c>
      <c r="H324" s="242" t="s">
        <v>131</v>
      </c>
      <c r="I324" s="242" t="s">
        <v>653</v>
      </c>
      <c r="J324" s="170" t="s">
        <v>96</v>
      </c>
      <c r="K324" s="170" t="s">
        <v>345</v>
      </c>
      <c r="L324" s="170" t="s">
        <v>113</v>
      </c>
      <c r="M324" s="75"/>
      <c r="N324" s="75"/>
      <c r="O324" s="75"/>
    </row>
    <row r="325" spans="1:15" ht="15.6">
      <c r="A325" s="457">
        <v>46090</v>
      </c>
      <c r="B325" s="242" t="s">
        <v>188</v>
      </c>
      <c r="C325" s="170" t="s">
        <v>337</v>
      </c>
      <c r="D325" s="458" t="s">
        <v>99</v>
      </c>
      <c r="E325" s="242">
        <v>1000</v>
      </c>
      <c r="F325" s="454">
        <f t="shared" si="5"/>
        <v>1.8771635173931283</v>
      </c>
      <c r="G325" s="239">
        <v>532.71864210781655</v>
      </c>
      <c r="H325" s="459" t="s">
        <v>111</v>
      </c>
      <c r="I325" s="170" t="s">
        <v>380</v>
      </c>
      <c r="J325" s="170" t="s">
        <v>96</v>
      </c>
      <c r="K325" s="170" t="s">
        <v>345</v>
      </c>
      <c r="L325" s="170" t="s">
        <v>113</v>
      </c>
      <c r="M325" s="361"/>
      <c r="N325" s="361"/>
      <c r="O325" s="271"/>
    </row>
    <row r="326" spans="1:15" ht="15.6">
      <c r="A326" s="457">
        <v>46090</v>
      </c>
      <c r="B326" s="242" t="s">
        <v>186</v>
      </c>
      <c r="C326" s="170" t="s">
        <v>337</v>
      </c>
      <c r="D326" s="458" t="s">
        <v>99</v>
      </c>
      <c r="E326" s="242">
        <v>1000</v>
      </c>
      <c r="F326" s="454">
        <f t="shared" si="5"/>
        <v>1.9054742621280678</v>
      </c>
      <c r="G326" s="239">
        <v>524.80372990353703</v>
      </c>
      <c r="H326" s="459" t="s">
        <v>111</v>
      </c>
      <c r="I326" s="170" t="s">
        <v>380</v>
      </c>
      <c r="J326" s="170" t="s">
        <v>96</v>
      </c>
      <c r="K326" s="170" t="s">
        <v>345</v>
      </c>
      <c r="L326" s="170" t="s">
        <v>113</v>
      </c>
      <c r="M326" s="366"/>
      <c r="N326" s="364"/>
      <c r="O326" s="75"/>
    </row>
    <row r="327" spans="1:15" ht="15.6">
      <c r="A327" s="457">
        <v>46090</v>
      </c>
      <c r="B327" s="242" t="s">
        <v>359</v>
      </c>
      <c r="C327" s="170" t="s">
        <v>337</v>
      </c>
      <c r="D327" s="458" t="s">
        <v>99</v>
      </c>
      <c r="E327" s="242">
        <v>1000</v>
      </c>
      <c r="F327" s="454">
        <f t="shared" si="5"/>
        <v>1.8771635173931283</v>
      </c>
      <c r="G327" s="239">
        <v>532.71864210781655</v>
      </c>
      <c r="H327" s="459" t="s">
        <v>111</v>
      </c>
      <c r="I327" s="170" t="s">
        <v>380</v>
      </c>
      <c r="J327" s="170" t="s">
        <v>96</v>
      </c>
      <c r="K327" s="170" t="s">
        <v>345</v>
      </c>
      <c r="L327" s="170" t="s">
        <v>113</v>
      </c>
      <c r="M327" s="361"/>
      <c r="N327" s="361"/>
      <c r="O327" s="247"/>
    </row>
    <row r="328" spans="1:15" ht="15.6">
      <c r="A328" s="457">
        <v>46090</v>
      </c>
      <c r="B328" s="242" t="s">
        <v>360</v>
      </c>
      <c r="C328" s="170" t="s">
        <v>337</v>
      </c>
      <c r="D328" s="458" t="s">
        <v>99</v>
      </c>
      <c r="E328" s="242">
        <v>1000</v>
      </c>
      <c r="F328" s="454">
        <f t="shared" si="5"/>
        <v>1.8771635173931283</v>
      </c>
      <c r="G328" s="239">
        <v>532.71864210781655</v>
      </c>
      <c r="H328" s="459" t="s">
        <v>111</v>
      </c>
      <c r="I328" s="170" t="s">
        <v>380</v>
      </c>
      <c r="J328" s="170" t="s">
        <v>96</v>
      </c>
      <c r="K328" s="170" t="s">
        <v>345</v>
      </c>
      <c r="L328" s="170" t="s">
        <v>113</v>
      </c>
      <c r="M328" s="361"/>
      <c r="N328" s="361"/>
      <c r="O328" s="271"/>
    </row>
    <row r="329" spans="1:15" ht="15.6">
      <c r="A329" s="457">
        <v>46090</v>
      </c>
      <c r="B329" s="242" t="s">
        <v>192</v>
      </c>
      <c r="C329" s="170" t="s">
        <v>337</v>
      </c>
      <c r="D329" s="458" t="s">
        <v>99</v>
      </c>
      <c r="E329" s="242">
        <v>1000</v>
      </c>
      <c r="F329" s="454">
        <f t="shared" si="5"/>
        <v>1.8771635173931283</v>
      </c>
      <c r="G329" s="239">
        <v>532.71864210781655</v>
      </c>
      <c r="H329" s="459" t="s">
        <v>111</v>
      </c>
      <c r="I329" s="170" t="s">
        <v>380</v>
      </c>
      <c r="J329" s="170" t="s">
        <v>96</v>
      </c>
      <c r="K329" s="170" t="s">
        <v>345</v>
      </c>
      <c r="L329" s="170" t="s">
        <v>113</v>
      </c>
      <c r="M329" s="361"/>
      <c r="N329" s="361"/>
      <c r="O329" s="271"/>
    </row>
    <row r="330" spans="1:15" ht="15.6">
      <c r="A330" s="461">
        <v>46090</v>
      </c>
      <c r="B330" s="449" t="s">
        <v>395</v>
      </c>
      <c r="C330" s="449" t="s">
        <v>104</v>
      </c>
      <c r="D330" s="463" t="s">
        <v>97</v>
      </c>
      <c r="E330" s="460">
        <v>154370</v>
      </c>
      <c r="F330" s="454">
        <f t="shared" si="5"/>
        <v>297.23639422524388</v>
      </c>
      <c r="G330" s="239">
        <v>519.35093749999999</v>
      </c>
      <c r="H330" s="165" t="s">
        <v>128</v>
      </c>
      <c r="I330" s="242" t="s">
        <v>426</v>
      </c>
      <c r="J330" s="170" t="s">
        <v>96</v>
      </c>
      <c r="K330" s="170" t="s">
        <v>345</v>
      </c>
      <c r="L330" s="170" t="s">
        <v>113</v>
      </c>
      <c r="M330" s="364"/>
      <c r="N330" s="364"/>
      <c r="O330" s="75"/>
    </row>
    <row r="331" spans="1:15" ht="15.6">
      <c r="A331" s="453">
        <v>46090</v>
      </c>
      <c r="B331" s="242" t="s">
        <v>448</v>
      </c>
      <c r="C331" s="242" t="s">
        <v>104</v>
      </c>
      <c r="D331" s="242" t="s">
        <v>98</v>
      </c>
      <c r="E331" s="460">
        <v>68800</v>
      </c>
      <c r="F331" s="454">
        <f t="shared" si="5"/>
        <v>128.49965447040586</v>
      </c>
      <c r="G331" s="239">
        <v>535.41</v>
      </c>
      <c r="H331" s="242" t="s">
        <v>168</v>
      </c>
      <c r="I331" s="242" t="s">
        <v>514</v>
      </c>
      <c r="J331" s="170" t="s">
        <v>96</v>
      </c>
      <c r="K331" s="170" t="s">
        <v>345</v>
      </c>
      <c r="L331" s="170" t="s">
        <v>113</v>
      </c>
      <c r="M331" s="75"/>
      <c r="N331" s="75"/>
      <c r="O331" s="75"/>
    </row>
    <row r="332" spans="1:15" ht="15.6">
      <c r="A332" s="467">
        <v>46090</v>
      </c>
      <c r="B332" s="242" t="s">
        <v>449</v>
      </c>
      <c r="C332" s="170" t="s">
        <v>337</v>
      </c>
      <c r="D332" s="242" t="s">
        <v>98</v>
      </c>
      <c r="E332" s="298">
        <v>1000</v>
      </c>
      <c r="F332" s="454">
        <f t="shared" si="5"/>
        <v>1.867727535907062</v>
      </c>
      <c r="G332" s="239">
        <v>535.41</v>
      </c>
      <c r="H332" s="242" t="s">
        <v>168</v>
      </c>
      <c r="I332" s="242" t="s">
        <v>510</v>
      </c>
      <c r="J332" s="170" t="s">
        <v>96</v>
      </c>
      <c r="K332" s="170" t="s">
        <v>345</v>
      </c>
      <c r="L332" s="170" t="s">
        <v>113</v>
      </c>
      <c r="M332" s="75"/>
      <c r="N332" s="75"/>
      <c r="O332" s="75"/>
    </row>
    <row r="333" spans="1:15" ht="15.6">
      <c r="A333" s="467">
        <v>46090</v>
      </c>
      <c r="B333" s="242" t="s">
        <v>450</v>
      </c>
      <c r="C333" s="170" t="s">
        <v>337</v>
      </c>
      <c r="D333" s="242" t="s">
        <v>98</v>
      </c>
      <c r="E333" s="298">
        <v>1000</v>
      </c>
      <c r="F333" s="454">
        <f t="shared" si="5"/>
        <v>1.867727535907062</v>
      </c>
      <c r="G333" s="239">
        <v>535.41</v>
      </c>
      <c r="H333" s="242" t="s">
        <v>168</v>
      </c>
      <c r="I333" s="242" t="s">
        <v>510</v>
      </c>
      <c r="J333" s="170" t="s">
        <v>96</v>
      </c>
      <c r="K333" s="170" t="s">
        <v>345</v>
      </c>
      <c r="L333" s="170" t="s">
        <v>113</v>
      </c>
      <c r="M333" s="75"/>
      <c r="N333" s="75"/>
      <c r="O333" s="75"/>
    </row>
    <row r="334" spans="1:15" ht="15.6">
      <c r="A334" s="467">
        <v>46090</v>
      </c>
      <c r="B334" s="242" t="s">
        <v>451</v>
      </c>
      <c r="C334" s="170" t="s">
        <v>337</v>
      </c>
      <c r="D334" s="242" t="s">
        <v>98</v>
      </c>
      <c r="E334" s="298">
        <v>1000</v>
      </c>
      <c r="F334" s="454">
        <f t="shared" si="5"/>
        <v>1.867727535907062</v>
      </c>
      <c r="G334" s="239">
        <v>535.41</v>
      </c>
      <c r="H334" s="242" t="s">
        <v>168</v>
      </c>
      <c r="I334" s="242" t="s">
        <v>510</v>
      </c>
      <c r="J334" s="170" t="s">
        <v>96</v>
      </c>
      <c r="K334" s="170" t="s">
        <v>345</v>
      </c>
      <c r="L334" s="170" t="s">
        <v>113</v>
      </c>
      <c r="M334" s="75"/>
      <c r="N334" s="75"/>
      <c r="O334" s="75"/>
    </row>
    <row r="335" spans="1:15" ht="15.6">
      <c r="A335" s="467">
        <v>46090</v>
      </c>
      <c r="B335" s="242" t="s">
        <v>452</v>
      </c>
      <c r="C335" s="242" t="s">
        <v>110</v>
      </c>
      <c r="D335" s="242" t="s">
        <v>99</v>
      </c>
      <c r="E335" s="298">
        <v>5000</v>
      </c>
      <c r="F335" s="454">
        <f t="shared" si="5"/>
        <v>9.3386376795353101</v>
      </c>
      <c r="G335" s="239">
        <v>535.41</v>
      </c>
      <c r="H335" s="242" t="s">
        <v>168</v>
      </c>
      <c r="I335" s="242" t="s">
        <v>515</v>
      </c>
      <c r="J335" s="170" t="s">
        <v>96</v>
      </c>
      <c r="K335" s="170" t="s">
        <v>345</v>
      </c>
      <c r="L335" s="170" t="s">
        <v>113</v>
      </c>
      <c r="M335" s="75"/>
      <c r="N335" s="75"/>
      <c r="O335" s="75"/>
    </row>
    <row r="336" spans="1:15" ht="15.6">
      <c r="A336" s="428">
        <v>46090</v>
      </c>
      <c r="B336" s="429" t="s">
        <v>1043</v>
      </c>
      <c r="C336" s="242" t="s">
        <v>402</v>
      </c>
      <c r="D336" s="429" t="s">
        <v>259</v>
      </c>
      <c r="E336" s="429">
        <v>9000</v>
      </c>
      <c r="F336" s="454">
        <f t="shared" si="5"/>
        <v>16.809547823163559</v>
      </c>
      <c r="G336" s="239">
        <v>535.41</v>
      </c>
      <c r="H336" s="429" t="s">
        <v>123</v>
      </c>
      <c r="I336" s="429" t="s">
        <v>553</v>
      </c>
      <c r="J336" s="170" t="s">
        <v>96</v>
      </c>
      <c r="K336" s="170" t="s">
        <v>345</v>
      </c>
      <c r="L336" s="170" t="s">
        <v>113</v>
      </c>
      <c r="M336" s="75"/>
      <c r="N336" s="75"/>
      <c r="O336" s="75"/>
    </row>
    <row r="337" spans="1:15" ht="15.6">
      <c r="A337" s="457">
        <v>46090</v>
      </c>
      <c r="B337" s="242" t="s">
        <v>1025</v>
      </c>
      <c r="C337" s="170" t="s">
        <v>337</v>
      </c>
      <c r="D337" s="242" t="s">
        <v>259</v>
      </c>
      <c r="E337" s="242">
        <v>1000</v>
      </c>
      <c r="F337" s="454">
        <f t="shared" si="5"/>
        <v>1.867727535907062</v>
      </c>
      <c r="G337" s="239">
        <v>535.41</v>
      </c>
      <c r="H337" s="242" t="s">
        <v>131</v>
      </c>
      <c r="I337" s="242" t="s">
        <v>653</v>
      </c>
      <c r="J337" s="170" t="s">
        <v>96</v>
      </c>
      <c r="K337" s="170" t="s">
        <v>345</v>
      </c>
      <c r="L337" s="170" t="s">
        <v>113</v>
      </c>
      <c r="M337" s="75"/>
      <c r="N337" s="75"/>
      <c r="O337" s="75"/>
    </row>
    <row r="338" spans="1:15" ht="15.6">
      <c r="A338" s="457">
        <v>46090</v>
      </c>
      <c r="B338" s="242" t="s">
        <v>1025</v>
      </c>
      <c r="C338" s="170" t="s">
        <v>337</v>
      </c>
      <c r="D338" s="242" t="s">
        <v>259</v>
      </c>
      <c r="E338" s="242">
        <v>2000</v>
      </c>
      <c r="F338" s="454">
        <f t="shared" si="5"/>
        <v>3.735455071814124</v>
      </c>
      <c r="G338" s="239">
        <v>535.41</v>
      </c>
      <c r="H338" s="242" t="s">
        <v>131</v>
      </c>
      <c r="I338" s="242" t="s">
        <v>653</v>
      </c>
      <c r="J338" s="170" t="s">
        <v>96</v>
      </c>
      <c r="K338" s="170" t="s">
        <v>345</v>
      </c>
      <c r="L338" s="170" t="s">
        <v>113</v>
      </c>
      <c r="M338" s="75"/>
      <c r="N338" s="75"/>
      <c r="O338" s="75"/>
    </row>
    <row r="339" spans="1:15" ht="15.6">
      <c r="A339" s="453">
        <v>46090</v>
      </c>
      <c r="B339" s="449" t="s">
        <v>690</v>
      </c>
      <c r="C339" s="449" t="s">
        <v>104</v>
      </c>
      <c r="D339" s="242" t="s">
        <v>97</v>
      </c>
      <c r="E339" s="460">
        <v>127070</v>
      </c>
      <c r="F339" s="454">
        <f t="shared" si="5"/>
        <v>237.33213798771035</v>
      </c>
      <c r="G339" s="239">
        <v>535.41</v>
      </c>
      <c r="H339" s="242" t="s">
        <v>125</v>
      </c>
      <c r="I339" s="242" t="s">
        <v>691</v>
      </c>
      <c r="J339" s="170" t="s">
        <v>96</v>
      </c>
      <c r="K339" s="170" t="s">
        <v>345</v>
      </c>
      <c r="L339" s="170" t="s">
        <v>113</v>
      </c>
      <c r="M339" s="75"/>
      <c r="N339" s="75"/>
      <c r="O339" s="75"/>
    </row>
    <row r="340" spans="1:15" ht="15.6">
      <c r="A340" s="453">
        <v>46090</v>
      </c>
      <c r="B340" s="449" t="s">
        <v>692</v>
      </c>
      <c r="C340" s="449" t="s">
        <v>104</v>
      </c>
      <c r="D340" s="170" t="s">
        <v>97</v>
      </c>
      <c r="E340" s="460">
        <v>127070</v>
      </c>
      <c r="F340" s="454">
        <f t="shared" si="5"/>
        <v>237.33213798771035</v>
      </c>
      <c r="G340" s="239">
        <v>535.41</v>
      </c>
      <c r="H340" s="242" t="s">
        <v>126</v>
      </c>
      <c r="I340" s="242" t="s">
        <v>693</v>
      </c>
      <c r="J340" s="170" t="s">
        <v>96</v>
      </c>
      <c r="K340" s="170" t="s">
        <v>345</v>
      </c>
      <c r="L340" s="170" t="s">
        <v>113</v>
      </c>
      <c r="M340" s="75"/>
      <c r="N340" s="75"/>
      <c r="O340" s="75"/>
    </row>
    <row r="341" spans="1:15" ht="15.6">
      <c r="A341" s="468">
        <v>46090</v>
      </c>
      <c r="B341" s="449" t="s">
        <v>695</v>
      </c>
      <c r="C341" s="456" t="s">
        <v>104</v>
      </c>
      <c r="D341" s="456" t="s">
        <v>97</v>
      </c>
      <c r="E341" s="460">
        <v>127070</v>
      </c>
      <c r="F341" s="454">
        <f t="shared" si="5"/>
        <v>237.33213798771035</v>
      </c>
      <c r="G341" s="239">
        <v>535.41</v>
      </c>
      <c r="H341" s="456" t="s">
        <v>134</v>
      </c>
      <c r="I341" s="242" t="s">
        <v>729</v>
      </c>
      <c r="J341" s="170" t="s">
        <v>96</v>
      </c>
      <c r="K341" s="170" t="s">
        <v>345</v>
      </c>
      <c r="L341" s="170" t="s">
        <v>113</v>
      </c>
      <c r="M341" s="75"/>
      <c r="N341" s="75"/>
      <c r="O341" s="75"/>
    </row>
    <row r="342" spans="1:15" ht="15.6">
      <c r="A342" s="453">
        <v>46090</v>
      </c>
      <c r="B342" s="462" t="s">
        <v>745</v>
      </c>
      <c r="C342" s="462" t="s">
        <v>104</v>
      </c>
      <c r="D342" s="469" t="s">
        <v>100</v>
      </c>
      <c r="E342" s="460">
        <v>132280</v>
      </c>
      <c r="F342" s="454">
        <f t="shared" si="5"/>
        <v>247.06299844978616</v>
      </c>
      <c r="G342" s="239">
        <v>535.41</v>
      </c>
      <c r="H342" s="242" t="s">
        <v>129</v>
      </c>
      <c r="I342" s="242" t="s">
        <v>787</v>
      </c>
      <c r="J342" s="170" t="s">
        <v>96</v>
      </c>
      <c r="K342" s="170" t="s">
        <v>345</v>
      </c>
      <c r="L342" s="170" t="s">
        <v>113</v>
      </c>
      <c r="M342" s="75"/>
      <c r="N342" s="75"/>
      <c r="O342" s="75"/>
    </row>
    <row r="343" spans="1:15" ht="15.6">
      <c r="A343" s="453">
        <v>46090</v>
      </c>
      <c r="B343" s="242" t="s">
        <v>801</v>
      </c>
      <c r="C343" s="242" t="s">
        <v>120</v>
      </c>
      <c r="D343" s="242" t="s">
        <v>98</v>
      </c>
      <c r="E343" s="460">
        <v>62500</v>
      </c>
      <c r="F343" s="454">
        <f t="shared" si="5"/>
        <v>116.73297099419138</v>
      </c>
      <c r="G343" s="239">
        <v>535.41</v>
      </c>
      <c r="H343" s="242" t="s">
        <v>124</v>
      </c>
      <c r="I343" s="170" t="s">
        <v>839</v>
      </c>
      <c r="J343" s="170" t="s">
        <v>96</v>
      </c>
      <c r="K343" s="170" t="s">
        <v>345</v>
      </c>
      <c r="L343" s="170" t="s">
        <v>113</v>
      </c>
      <c r="M343" s="75"/>
      <c r="N343" s="75"/>
      <c r="O343" s="75"/>
    </row>
    <row r="344" spans="1:15" ht="15.6">
      <c r="A344" s="450">
        <v>46090</v>
      </c>
      <c r="B344" s="300" t="s">
        <v>916</v>
      </c>
      <c r="C344" s="170" t="s">
        <v>254</v>
      </c>
      <c r="D344" s="242"/>
      <c r="E344" s="245"/>
      <c r="F344" s="454">
        <f t="shared" si="5"/>
        <v>0</v>
      </c>
      <c r="G344" s="239">
        <v>535.41</v>
      </c>
      <c r="H344" s="242" t="s">
        <v>107</v>
      </c>
      <c r="I344" s="242" t="s">
        <v>989</v>
      </c>
      <c r="J344" s="170" t="s">
        <v>96</v>
      </c>
      <c r="K344" s="170" t="s">
        <v>345</v>
      </c>
      <c r="L344" s="170" t="s">
        <v>113</v>
      </c>
      <c r="M344" s="479">
        <f>'Bank journal  '!F7</f>
        <v>32124589</v>
      </c>
      <c r="N344" s="479">
        <v>60000</v>
      </c>
      <c r="O344" s="75"/>
    </row>
    <row r="345" spans="1:15" ht="15.6">
      <c r="A345" s="450">
        <v>46090</v>
      </c>
      <c r="B345" s="243" t="s">
        <v>917</v>
      </c>
      <c r="C345" s="170" t="s">
        <v>104</v>
      </c>
      <c r="D345" s="170" t="s">
        <v>97</v>
      </c>
      <c r="E345" s="245">
        <v>228800</v>
      </c>
      <c r="F345" s="454">
        <f t="shared" si="5"/>
        <v>427.33606021553578</v>
      </c>
      <c r="G345" s="239">
        <v>535.41</v>
      </c>
      <c r="H345" s="242" t="s">
        <v>107</v>
      </c>
      <c r="I345" s="242" t="s">
        <v>952</v>
      </c>
      <c r="J345" s="170" t="s">
        <v>96</v>
      </c>
      <c r="K345" s="170" t="s">
        <v>345</v>
      </c>
      <c r="L345" s="170" t="s">
        <v>113</v>
      </c>
      <c r="M345" s="75"/>
      <c r="N345" s="75"/>
      <c r="O345" s="75"/>
    </row>
    <row r="346" spans="1:15" ht="15.6">
      <c r="A346" s="450">
        <v>46090</v>
      </c>
      <c r="B346" s="243" t="s">
        <v>917</v>
      </c>
      <c r="C346" s="170" t="s">
        <v>104</v>
      </c>
      <c r="D346" s="170" t="s">
        <v>97</v>
      </c>
      <c r="E346" s="245">
        <v>228800</v>
      </c>
      <c r="F346" s="454">
        <f t="shared" si="5"/>
        <v>427.33606021553578</v>
      </c>
      <c r="G346" s="239">
        <v>535.41</v>
      </c>
      <c r="H346" s="242" t="s">
        <v>107</v>
      </c>
      <c r="I346" s="242" t="s">
        <v>953</v>
      </c>
      <c r="J346" s="170" t="s">
        <v>96</v>
      </c>
      <c r="K346" s="170" t="s">
        <v>345</v>
      </c>
      <c r="L346" s="170" t="s">
        <v>113</v>
      </c>
      <c r="M346" s="75"/>
      <c r="N346" s="75"/>
      <c r="O346" s="75"/>
    </row>
    <row r="347" spans="1:15" ht="15.6">
      <c r="A347" s="450">
        <v>46090</v>
      </c>
      <c r="B347" s="300" t="s">
        <v>918</v>
      </c>
      <c r="C347" s="170" t="s">
        <v>104</v>
      </c>
      <c r="D347" s="452" t="s">
        <v>97</v>
      </c>
      <c r="E347" s="245">
        <v>581764</v>
      </c>
      <c r="F347" s="454">
        <f t="shared" si="5"/>
        <v>1086.576642199436</v>
      </c>
      <c r="G347" s="239">
        <v>535.41</v>
      </c>
      <c r="H347" s="242" t="s">
        <v>107</v>
      </c>
      <c r="I347" s="242" t="s">
        <v>954</v>
      </c>
      <c r="J347" s="170" t="s">
        <v>96</v>
      </c>
      <c r="K347" s="170" t="s">
        <v>345</v>
      </c>
      <c r="L347" s="170" t="s">
        <v>113</v>
      </c>
      <c r="M347" s="75"/>
      <c r="N347" s="75"/>
      <c r="O347" s="75"/>
    </row>
    <row r="348" spans="1:15" ht="15.6">
      <c r="A348" s="450">
        <v>46090</v>
      </c>
      <c r="B348" s="243" t="s">
        <v>919</v>
      </c>
      <c r="C348" s="170" t="s">
        <v>104</v>
      </c>
      <c r="D348" s="248" t="s">
        <v>97</v>
      </c>
      <c r="E348" s="245">
        <v>328800</v>
      </c>
      <c r="F348" s="454">
        <f t="shared" si="5"/>
        <v>614.10881380624198</v>
      </c>
      <c r="G348" s="239">
        <v>535.41</v>
      </c>
      <c r="H348" s="242" t="s">
        <v>107</v>
      </c>
      <c r="I348" s="242" t="s">
        <v>955</v>
      </c>
      <c r="J348" s="170" t="s">
        <v>96</v>
      </c>
      <c r="K348" s="170" t="s">
        <v>345</v>
      </c>
      <c r="L348" s="170" t="s">
        <v>113</v>
      </c>
      <c r="M348" s="75"/>
      <c r="N348" s="75"/>
      <c r="O348" s="75"/>
    </row>
    <row r="349" spans="1:15" ht="15.6">
      <c r="A349" s="450">
        <v>46090</v>
      </c>
      <c r="B349" s="243" t="s">
        <v>920</v>
      </c>
      <c r="C349" s="170" t="s">
        <v>104</v>
      </c>
      <c r="D349" s="248" t="s">
        <v>100</v>
      </c>
      <c r="E349" s="245">
        <v>268210</v>
      </c>
      <c r="F349" s="454">
        <f t="shared" si="5"/>
        <v>500.94320240563309</v>
      </c>
      <c r="G349" s="239">
        <v>535.41</v>
      </c>
      <c r="H349" s="242" t="s">
        <v>107</v>
      </c>
      <c r="I349" s="242" t="s">
        <v>956</v>
      </c>
      <c r="J349" s="170" t="s">
        <v>96</v>
      </c>
      <c r="K349" s="170" t="s">
        <v>345</v>
      </c>
      <c r="L349" s="170" t="s">
        <v>113</v>
      </c>
      <c r="M349" s="75"/>
      <c r="N349" s="75"/>
      <c r="O349" s="75"/>
    </row>
    <row r="350" spans="1:15" ht="15.6">
      <c r="A350" s="450">
        <v>46090</v>
      </c>
      <c r="B350" s="300" t="s">
        <v>921</v>
      </c>
      <c r="C350" s="170" t="s">
        <v>104</v>
      </c>
      <c r="D350" s="452" t="s">
        <v>97</v>
      </c>
      <c r="E350" s="245">
        <v>581764</v>
      </c>
      <c r="F350" s="454">
        <f t="shared" si="5"/>
        <v>1086.576642199436</v>
      </c>
      <c r="G350" s="239">
        <v>535.41</v>
      </c>
      <c r="H350" s="242" t="s">
        <v>107</v>
      </c>
      <c r="I350" s="242" t="s">
        <v>957</v>
      </c>
      <c r="J350" s="170" t="s">
        <v>96</v>
      </c>
      <c r="K350" s="170" t="s">
        <v>345</v>
      </c>
      <c r="L350" s="170" t="s">
        <v>113</v>
      </c>
      <c r="M350" s="75"/>
      <c r="N350" s="75"/>
      <c r="O350" s="75"/>
    </row>
    <row r="351" spans="1:15" ht="15.6">
      <c r="A351" s="450">
        <v>46090</v>
      </c>
      <c r="B351" s="243" t="s">
        <v>922</v>
      </c>
      <c r="C351" s="170" t="s">
        <v>104</v>
      </c>
      <c r="D351" s="248" t="s">
        <v>97</v>
      </c>
      <c r="E351" s="245">
        <v>328800</v>
      </c>
      <c r="F351" s="454">
        <f t="shared" ref="F351:F414" si="6">E351/G351</f>
        <v>614.10881380624198</v>
      </c>
      <c r="G351" s="239">
        <v>535.41</v>
      </c>
      <c r="H351" s="242" t="s">
        <v>107</v>
      </c>
      <c r="I351" s="242" t="s">
        <v>958</v>
      </c>
      <c r="J351" s="170" t="s">
        <v>96</v>
      </c>
      <c r="K351" s="170" t="s">
        <v>345</v>
      </c>
      <c r="L351" s="170" t="s">
        <v>113</v>
      </c>
      <c r="M351" s="75"/>
      <c r="N351" s="75"/>
      <c r="O351" s="75"/>
    </row>
    <row r="352" spans="1:15" ht="15.6">
      <c r="A352" s="450">
        <v>46090</v>
      </c>
      <c r="B352" s="243" t="s">
        <v>923</v>
      </c>
      <c r="C352" s="170" t="s">
        <v>104</v>
      </c>
      <c r="D352" s="248" t="s">
        <v>100</v>
      </c>
      <c r="E352" s="245">
        <v>268210</v>
      </c>
      <c r="F352" s="454">
        <f t="shared" si="6"/>
        <v>500.94320240563309</v>
      </c>
      <c r="G352" s="239">
        <v>535.41</v>
      </c>
      <c r="H352" s="242" t="s">
        <v>107</v>
      </c>
      <c r="I352" s="242" t="s">
        <v>959</v>
      </c>
      <c r="J352" s="170" t="s">
        <v>96</v>
      </c>
      <c r="K352" s="170" t="s">
        <v>345</v>
      </c>
      <c r="L352" s="170" t="s">
        <v>113</v>
      </c>
      <c r="M352" s="75"/>
      <c r="N352" s="75"/>
      <c r="O352" s="75"/>
    </row>
    <row r="353" spans="1:15" ht="15.6">
      <c r="A353" s="450">
        <v>46090</v>
      </c>
      <c r="B353" s="300" t="s">
        <v>924</v>
      </c>
      <c r="C353" s="170" t="s">
        <v>104</v>
      </c>
      <c r="D353" s="242" t="s">
        <v>259</v>
      </c>
      <c r="E353" s="245">
        <v>255000</v>
      </c>
      <c r="F353" s="454">
        <f t="shared" si="6"/>
        <v>476.27052165630079</v>
      </c>
      <c r="G353" s="239">
        <v>535.41</v>
      </c>
      <c r="H353" s="242" t="s">
        <v>107</v>
      </c>
      <c r="I353" s="242" t="s">
        <v>960</v>
      </c>
      <c r="J353" s="170" t="s">
        <v>96</v>
      </c>
      <c r="K353" s="170" t="s">
        <v>345</v>
      </c>
      <c r="L353" s="170" t="s">
        <v>113</v>
      </c>
      <c r="M353" s="75"/>
      <c r="N353" s="75"/>
      <c r="O353" s="75"/>
    </row>
    <row r="354" spans="1:15" ht="15.6">
      <c r="A354" s="450">
        <v>46090</v>
      </c>
      <c r="B354" s="300" t="s">
        <v>925</v>
      </c>
      <c r="C354" s="170" t="s">
        <v>104</v>
      </c>
      <c r="D354" s="242" t="s">
        <v>259</v>
      </c>
      <c r="E354" s="245">
        <v>255000</v>
      </c>
      <c r="F354" s="454">
        <f t="shared" si="6"/>
        <v>476.27052165630079</v>
      </c>
      <c r="G354" s="239">
        <v>535.41</v>
      </c>
      <c r="H354" s="242" t="s">
        <v>107</v>
      </c>
      <c r="I354" s="242" t="s">
        <v>961</v>
      </c>
      <c r="J354" s="170" t="s">
        <v>96</v>
      </c>
      <c r="K354" s="170" t="s">
        <v>345</v>
      </c>
      <c r="L354" s="170" t="s">
        <v>113</v>
      </c>
      <c r="M354" s="75"/>
      <c r="N354" s="75"/>
      <c r="O354" s="75"/>
    </row>
    <row r="355" spans="1:15" ht="15.6">
      <c r="A355" s="450">
        <v>46090</v>
      </c>
      <c r="B355" s="300" t="s">
        <v>926</v>
      </c>
      <c r="C355" s="170" t="s">
        <v>104</v>
      </c>
      <c r="D355" s="242" t="s">
        <v>259</v>
      </c>
      <c r="E355" s="245">
        <v>255000</v>
      </c>
      <c r="F355" s="454">
        <f t="shared" si="6"/>
        <v>476.27052165630079</v>
      </c>
      <c r="G355" s="239">
        <v>535.41</v>
      </c>
      <c r="H355" s="242" t="s">
        <v>107</v>
      </c>
      <c r="I355" s="242" t="s">
        <v>962</v>
      </c>
      <c r="J355" s="170" t="s">
        <v>96</v>
      </c>
      <c r="K355" s="170" t="s">
        <v>345</v>
      </c>
      <c r="L355" s="170" t="s">
        <v>113</v>
      </c>
      <c r="M355" s="75"/>
      <c r="N355" s="75"/>
      <c r="O355" s="75"/>
    </row>
    <row r="356" spans="1:15" ht="15.6">
      <c r="A356" s="450">
        <v>46090</v>
      </c>
      <c r="B356" s="300" t="s">
        <v>927</v>
      </c>
      <c r="C356" s="170" t="s">
        <v>104</v>
      </c>
      <c r="D356" s="242" t="s">
        <v>259</v>
      </c>
      <c r="E356" s="245">
        <v>255000</v>
      </c>
      <c r="F356" s="454">
        <f t="shared" si="6"/>
        <v>476.27052165630079</v>
      </c>
      <c r="G356" s="239">
        <v>535.41</v>
      </c>
      <c r="H356" s="242" t="s">
        <v>107</v>
      </c>
      <c r="I356" s="242" t="s">
        <v>963</v>
      </c>
      <c r="J356" s="170" t="s">
        <v>96</v>
      </c>
      <c r="K356" s="170" t="s">
        <v>345</v>
      </c>
      <c r="L356" s="170" t="s">
        <v>113</v>
      </c>
      <c r="M356" s="75"/>
      <c r="N356" s="75"/>
      <c r="O356" s="75"/>
    </row>
    <row r="357" spans="1:15" ht="15.6">
      <c r="A357" s="450">
        <v>46090</v>
      </c>
      <c r="B357" s="300" t="s">
        <v>928</v>
      </c>
      <c r="C357" s="170" t="s">
        <v>104</v>
      </c>
      <c r="D357" s="242" t="s">
        <v>259</v>
      </c>
      <c r="E357" s="245">
        <v>400000</v>
      </c>
      <c r="F357" s="454">
        <f t="shared" si="6"/>
        <v>747.09101436282481</v>
      </c>
      <c r="G357" s="239">
        <v>535.41</v>
      </c>
      <c r="H357" s="242" t="s">
        <v>107</v>
      </c>
      <c r="I357" s="242" t="s">
        <v>964</v>
      </c>
      <c r="J357" s="170" t="s">
        <v>96</v>
      </c>
      <c r="K357" s="170" t="s">
        <v>345</v>
      </c>
      <c r="L357" s="170" t="s">
        <v>113</v>
      </c>
      <c r="M357" s="75"/>
      <c r="N357" s="75"/>
      <c r="O357" s="75"/>
    </row>
    <row r="358" spans="1:15" ht="15.6">
      <c r="A358" s="450">
        <v>46090</v>
      </c>
      <c r="B358" s="300" t="s">
        <v>929</v>
      </c>
      <c r="C358" s="170" t="s">
        <v>104</v>
      </c>
      <c r="D358" s="242" t="s">
        <v>259</v>
      </c>
      <c r="E358" s="245">
        <v>157143</v>
      </c>
      <c r="F358" s="454">
        <f t="shared" si="6"/>
        <v>293.50030817504341</v>
      </c>
      <c r="G358" s="239">
        <v>535.41</v>
      </c>
      <c r="H358" s="242" t="s">
        <v>107</v>
      </c>
      <c r="I358" s="242" t="s">
        <v>965</v>
      </c>
      <c r="J358" s="170" t="s">
        <v>96</v>
      </c>
      <c r="K358" s="170" t="s">
        <v>345</v>
      </c>
      <c r="L358" s="170" t="s">
        <v>113</v>
      </c>
      <c r="M358" s="75"/>
      <c r="N358" s="75"/>
      <c r="O358" s="75"/>
    </row>
    <row r="359" spans="1:15" ht="15.6">
      <c r="A359" s="457">
        <v>46091</v>
      </c>
      <c r="B359" s="242" t="s">
        <v>186</v>
      </c>
      <c r="C359" s="170" t="s">
        <v>337</v>
      </c>
      <c r="D359" s="458" t="s">
        <v>99</v>
      </c>
      <c r="E359" s="242">
        <v>1000</v>
      </c>
      <c r="F359" s="454">
        <f t="shared" si="6"/>
        <v>1.8677282335885521</v>
      </c>
      <c r="G359" s="239">
        <v>535.40980000000002</v>
      </c>
      <c r="H359" s="459" t="s">
        <v>111</v>
      </c>
      <c r="I359" s="170" t="s">
        <v>380</v>
      </c>
      <c r="J359" s="170" t="s">
        <v>96</v>
      </c>
      <c r="K359" s="170" t="s">
        <v>345</v>
      </c>
      <c r="L359" s="170" t="s">
        <v>113</v>
      </c>
      <c r="M359" s="361"/>
      <c r="N359" s="361"/>
      <c r="O359" s="271"/>
    </row>
    <row r="360" spans="1:15" ht="15.6">
      <c r="A360" s="457">
        <v>46091</v>
      </c>
      <c r="B360" s="456" t="s">
        <v>361</v>
      </c>
      <c r="C360" s="170" t="s">
        <v>110</v>
      </c>
      <c r="D360" s="232" t="s">
        <v>99</v>
      </c>
      <c r="E360" s="242">
        <v>10000</v>
      </c>
      <c r="F360" s="454">
        <f t="shared" si="6"/>
        <v>18.771635173931283</v>
      </c>
      <c r="G360" s="239">
        <v>532.71864210781655</v>
      </c>
      <c r="H360" s="459" t="s">
        <v>111</v>
      </c>
      <c r="I360" s="170" t="s">
        <v>388</v>
      </c>
      <c r="J360" s="170" t="s">
        <v>96</v>
      </c>
      <c r="K360" s="170" t="s">
        <v>345</v>
      </c>
      <c r="L360" s="170" t="s">
        <v>113</v>
      </c>
      <c r="M360" s="361"/>
      <c r="N360" s="361"/>
      <c r="O360" s="271"/>
    </row>
    <row r="361" spans="1:15" ht="15.6">
      <c r="A361" s="457">
        <v>46091</v>
      </c>
      <c r="B361" s="242" t="s">
        <v>192</v>
      </c>
      <c r="C361" s="170" t="s">
        <v>337</v>
      </c>
      <c r="D361" s="458" t="s">
        <v>99</v>
      </c>
      <c r="E361" s="242">
        <v>1000</v>
      </c>
      <c r="F361" s="454">
        <f t="shared" si="6"/>
        <v>1.8771635173931283</v>
      </c>
      <c r="G361" s="239">
        <v>532.71864210781655</v>
      </c>
      <c r="H361" s="459" t="s">
        <v>111</v>
      </c>
      <c r="I361" s="170" t="s">
        <v>380</v>
      </c>
      <c r="J361" s="170" t="s">
        <v>96</v>
      </c>
      <c r="K361" s="170" t="s">
        <v>345</v>
      </c>
      <c r="L361" s="170" t="s">
        <v>113</v>
      </c>
      <c r="M361" s="361"/>
      <c r="N361" s="361"/>
      <c r="O361" s="271"/>
    </row>
    <row r="362" spans="1:15" ht="15.6">
      <c r="A362" s="461">
        <v>46091</v>
      </c>
      <c r="B362" s="462" t="s">
        <v>396</v>
      </c>
      <c r="C362" s="462" t="s">
        <v>110</v>
      </c>
      <c r="D362" s="463" t="s">
        <v>97</v>
      </c>
      <c r="E362" s="464">
        <v>7500</v>
      </c>
      <c r="F362" s="454">
        <f t="shared" si="6"/>
        <v>14.007956519302965</v>
      </c>
      <c r="G362" s="239">
        <v>535.41</v>
      </c>
      <c r="H362" s="165" t="s">
        <v>128</v>
      </c>
      <c r="I362" s="464" t="s">
        <v>427</v>
      </c>
      <c r="J362" s="170" t="s">
        <v>96</v>
      </c>
      <c r="K362" s="170" t="s">
        <v>345</v>
      </c>
      <c r="L362" s="170" t="s">
        <v>113</v>
      </c>
      <c r="M362" s="364"/>
      <c r="N362" s="364"/>
      <c r="O362" s="75"/>
    </row>
    <row r="363" spans="1:15" ht="15.6">
      <c r="A363" s="428">
        <v>46091</v>
      </c>
      <c r="B363" s="429" t="s">
        <v>1044</v>
      </c>
      <c r="C363" s="429" t="s">
        <v>542</v>
      </c>
      <c r="D363" s="429" t="s">
        <v>259</v>
      </c>
      <c r="E363" s="429">
        <v>70000</v>
      </c>
      <c r="F363" s="454">
        <f t="shared" si="6"/>
        <v>130.74092751349434</v>
      </c>
      <c r="G363" s="239">
        <v>535.41</v>
      </c>
      <c r="H363" s="429" t="s">
        <v>123</v>
      </c>
      <c r="I363" s="429" t="s">
        <v>554</v>
      </c>
      <c r="J363" s="170" t="s">
        <v>96</v>
      </c>
      <c r="K363" s="170" t="s">
        <v>345</v>
      </c>
      <c r="L363" s="170" t="s">
        <v>113</v>
      </c>
      <c r="M363" s="75"/>
      <c r="N363" s="75"/>
      <c r="O363" s="75"/>
    </row>
    <row r="364" spans="1:15" ht="15.6">
      <c r="A364" s="428">
        <v>46091</v>
      </c>
      <c r="B364" s="429" t="s">
        <v>1033</v>
      </c>
      <c r="C364" s="170" t="s">
        <v>337</v>
      </c>
      <c r="D364" s="429" t="s">
        <v>259</v>
      </c>
      <c r="E364" s="429">
        <v>1500</v>
      </c>
      <c r="F364" s="454">
        <f t="shared" si="6"/>
        <v>2.8015913038605929</v>
      </c>
      <c r="G364" s="239">
        <v>535.41</v>
      </c>
      <c r="H364" s="429" t="s">
        <v>123</v>
      </c>
      <c r="I364" s="429" t="s">
        <v>550</v>
      </c>
      <c r="J364" s="170" t="s">
        <v>96</v>
      </c>
      <c r="K364" s="170" t="s">
        <v>345</v>
      </c>
      <c r="L364" s="170" t="s">
        <v>113</v>
      </c>
      <c r="M364" s="75"/>
      <c r="N364" s="75"/>
      <c r="O364" s="75"/>
    </row>
    <row r="365" spans="1:15" ht="15.6">
      <c r="A365" s="428">
        <v>46091</v>
      </c>
      <c r="B365" s="429" t="s">
        <v>1033</v>
      </c>
      <c r="C365" s="170" t="s">
        <v>337</v>
      </c>
      <c r="D365" s="429" t="s">
        <v>259</v>
      </c>
      <c r="E365" s="429">
        <v>1000</v>
      </c>
      <c r="F365" s="454">
        <f t="shared" si="6"/>
        <v>1.867727535907062</v>
      </c>
      <c r="G365" s="239">
        <v>535.41</v>
      </c>
      <c r="H365" s="429" t="s">
        <v>123</v>
      </c>
      <c r="I365" s="429" t="s">
        <v>550</v>
      </c>
      <c r="J365" s="170" t="s">
        <v>96</v>
      </c>
      <c r="K365" s="170" t="s">
        <v>345</v>
      </c>
      <c r="L365" s="170" t="s">
        <v>113</v>
      </c>
      <c r="M365" s="75"/>
      <c r="N365" s="75"/>
      <c r="O365" s="75"/>
    </row>
    <row r="366" spans="1:15" ht="15.6">
      <c r="A366" s="428">
        <v>46091</v>
      </c>
      <c r="B366" s="165" t="s">
        <v>543</v>
      </c>
      <c r="C366" s="165" t="s">
        <v>110</v>
      </c>
      <c r="D366" s="165" t="s">
        <v>544</v>
      </c>
      <c r="E366" s="429">
        <v>7500</v>
      </c>
      <c r="F366" s="454">
        <f t="shared" si="6"/>
        <v>14.007956519302965</v>
      </c>
      <c r="G366" s="239">
        <v>535.41</v>
      </c>
      <c r="H366" s="429" t="s">
        <v>123</v>
      </c>
      <c r="I366" s="429" t="s">
        <v>555</v>
      </c>
      <c r="J366" s="170" t="s">
        <v>96</v>
      </c>
      <c r="K366" s="170" t="s">
        <v>345</v>
      </c>
      <c r="L366" s="170" t="s">
        <v>113</v>
      </c>
      <c r="M366" s="75"/>
      <c r="N366" s="75"/>
      <c r="O366" s="75"/>
    </row>
    <row r="367" spans="1:15" ht="15.6">
      <c r="A367" s="457">
        <v>46091</v>
      </c>
      <c r="B367" s="242" t="s">
        <v>1025</v>
      </c>
      <c r="C367" s="170" t="s">
        <v>337</v>
      </c>
      <c r="D367" s="242" t="s">
        <v>259</v>
      </c>
      <c r="E367" s="242">
        <v>1000</v>
      </c>
      <c r="F367" s="454">
        <f t="shared" si="6"/>
        <v>1.867727535907062</v>
      </c>
      <c r="G367" s="239">
        <v>535.41</v>
      </c>
      <c r="H367" s="242" t="s">
        <v>122</v>
      </c>
      <c r="I367" s="242" t="s">
        <v>594</v>
      </c>
      <c r="J367" s="170" t="s">
        <v>96</v>
      </c>
      <c r="K367" s="170" t="s">
        <v>345</v>
      </c>
      <c r="L367" s="170" t="s">
        <v>113</v>
      </c>
      <c r="M367" s="75"/>
      <c r="N367" s="75"/>
      <c r="O367" s="75"/>
    </row>
    <row r="368" spans="1:15" ht="15.6">
      <c r="A368" s="457">
        <v>46091</v>
      </c>
      <c r="B368" s="242" t="s">
        <v>1029</v>
      </c>
      <c r="C368" s="170" t="s">
        <v>337</v>
      </c>
      <c r="D368" s="242" t="s">
        <v>259</v>
      </c>
      <c r="E368" s="242">
        <v>1000</v>
      </c>
      <c r="F368" s="454">
        <f t="shared" si="6"/>
        <v>1.867727535907062</v>
      </c>
      <c r="G368" s="239">
        <v>535.41</v>
      </c>
      <c r="H368" s="242" t="s">
        <v>122</v>
      </c>
      <c r="I368" s="242" t="s">
        <v>594</v>
      </c>
      <c r="J368" s="170" t="s">
        <v>96</v>
      </c>
      <c r="K368" s="170" t="s">
        <v>345</v>
      </c>
      <c r="L368" s="170" t="s">
        <v>113</v>
      </c>
      <c r="M368" s="75"/>
      <c r="N368" s="75"/>
      <c r="O368" s="75"/>
    </row>
    <row r="369" spans="1:15" ht="15.6">
      <c r="A369" s="457">
        <v>46091</v>
      </c>
      <c r="B369" s="242" t="s">
        <v>1029</v>
      </c>
      <c r="C369" s="170" t="s">
        <v>337</v>
      </c>
      <c r="D369" s="242" t="s">
        <v>259</v>
      </c>
      <c r="E369" s="242">
        <v>1000</v>
      </c>
      <c r="F369" s="454">
        <f t="shared" si="6"/>
        <v>1.867727535907062</v>
      </c>
      <c r="G369" s="239">
        <v>535.41</v>
      </c>
      <c r="H369" s="242" t="s">
        <v>122</v>
      </c>
      <c r="I369" s="242" t="s">
        <v>594</v>
      </c>
      <c r="J369" s="170" t="s">
        <v>96</v>
      </c>
      <c r="K369" s="170" t="s">
        <v>345</v>
      </c>
      <c r="L369" s="170" t="s">
        <v>113</v>
      </c>
      <c r="M369" s="75"/>
      <c r="N369" s="75"/>
      <c r="O369" s="75"/>
    </row>
    <row r="370" spans="1:15" ht="15.6">
      <c r="A370" s="457">
        <v>46091</v>
      </c>
      <c r="B370" s="242" t="s">
        <v>1025</v>
      </c>
      <c r="C370" s="170" t="s">
        <v>337</v>
      </c>
      <c r="D370" s="242" t="s">
        <v>259</v>
      </c>
      <c r="E370" s="242">
        <v>1000</v>
      </c>
      <c r="F370" s="454">
        <f t="shared" si="6"/>
        <v>1.867727535907062</v>
      </c>
      <c r="G370" s="239">
        <v>535.41</v>
      </c>
      <c r="H370" s="242" t="s">
        <v>122</v>
      </c>
      <c r="I370" s="242" t="s">
        <v>594</v>
      </c>
      <c r="J370" s="170" t="s">
        <v>96</v>
      </c>
      <c r="K370" s="170" t="s">
        <v>345</v>
      </c>
      <c r="L370" s="170" t="s">
        <v>113</v>
      </c>
      <c r="M370" s="75"/>
      <c r="N370" s="75"/>
      <c r="O370" s="75"/>
    </row>
    <row r="371" spans="1:15" ht="15.6">
      <c r="A371" s="457">
        <v>46091</v>
      </c>
      <c r="B371" s="165" t="s">
        <v>589</v>
      </c>
      <c r="C371" s="165" t="s">
        <v>110</v>
      </c>
      <c r="D371" s="242" t="s">
        <v>259</v>
      </c>
      <c r="E371" s="242">
        <v>7500</v>
      </c>
      <c r="F371" s="454">
        <f t="shared" si="6"/>
        <v>14.007956519302965</v>
      </c>
      <c r="G371" s="239">
        <v>535.41</v>
      </c>
      <c r="H371" s="242" t="s">
        <v>122</v>
      </c>
      <c r="I371" s="242" t="s">
        <v>605</v>
      </c>
      <c r="J371" s="170" t="s">
        <v>96</v>
      </c>
      <c r="K371" s="170" t="s">
        <v>345</v>
      </c>
      <c r="L371" s="170" t="s">
        <v>113</v>
      </c>
      <c r="M371" s="75"/>
      <c r="N371" s="75"/>
      <c r="O371" s="75"/>
    </row>
    <row r="372" spans="1:15" ht="15.6">
      <c r="A372" s="453">
        <v>46091</v>
      </c>
      <c r="B372" s="170" t="s">
        <v>1045</v>
      </c>
      <c r="C372" s="242" t="s">
        <v>402</v>
      </c>
      <c r="D372" s="170" t="s">
        <v>259</v>
      </c>
      <c r="E372" s="170">
        <v>12000</v>
      </c>
      <c r="F372" s="454">
        <f t="shared" si="6"/>
        <v>22.412730430884743</v>
      </c>
      <c r="G372" s="239">
        <v>535.41</v>
      </c>
      <c r="H372" s="170" t="s">
        <v>122</v>
      </c>
      <c r="I372" s="242" t="s">
        <v>606</v>
      </c>
      <c r="J372" s="170" t="s">
        <v>96</v>
      </c>
      <c r="K372" s="170" t="s">
        <v>345</v>
      </c>
      <c r="L372" s="170" t="s">
        <v>113</v>
      </c>
      <c r="M372" s="75"/>
      <c r="N372" s="75"/>
      <c r="O372" s="75"/>
    </row>
    <row r="373" spans="1:15" ht="15.6">
      <c r="A373" s="457">
        <v>46091</v>
      </c>
      <c r="B373" s="242" t="s">
        <v>540</v>
      </c>
      <c r="C373" s="242" t="s">
        <v>587</v>
      </c>
      <c r="D373" s="242" t="s">
        <v>259</v>
      </c>
      <c r="E373" s="242">
        <v>5500</v>
      </c>
      <c r="F373" s="454">
        <f t="shared" si="6"/>
        <v>10.272501447488841</v>
      </c>
      <c r="G373" s="239">
        <v>535.41</v>
      </c>
      <c r="H373" s="242" t="s">
        <v>122</v>
      </c>
      <c r="I373" s="242" t="s">
        <v>596</v>
      </c>
      <c r="J373" s="170" t="s">
        <v>96</v>
      </c>
      <c r="K373" s="170" t="s">
        <v>345</v>
      </c>
      <c r="L373" s="170" t="s">
        <v>113</v>
      </c>
      <c r="M373" s="75"/>
      <c r="N373" s="75"/>
      <c r="O373" s="75"/>
    </row>
    <row r="374" spans="1:15" ht="15.6">
      <c r="A374" s="457">
        <v>46091</v>
      </c>
      <c r="B374" s="242" t="s">
        <v>1030</v>
      </c>
      <c r="C374" s="242" t="s">
        <v>542</v>
      </c>
      <c r="D374" s="242" t="s">
        <v>259</v>
      </c>
      <c r="E374" s="242">
        <v>70000</v>
      </c>
      <c r="F374" s="454">
        <f t="shared" si="6"/>
        <v>130.74092751349434</v>
      </c>
      <c r="G374" s="239">
        <v>535.41</v>
      </c>
      <c r="H374" s="242" t="s">
        <v>131</v>
      </c>
      <c r="I374" s="242" t="s">
        <v>665</v>
      </c>
      <c r="J374" s="170" t="s">
        <v>96</v>
      </c>
      <c r="K374" s="170" t="s">
        <v>345</v>
      </c>
      <c r="L374" s="170" t="s">
        <v>113</v>
      </c>
      <c r="M374" s="75"/>
      <c r="N374" s="75"/>
      <c r="O374" s="75"/>
    </row>
    <row r="375" spans="1:15" ht="15.6">
      <c r="A375" s="457">
        <v>46091</v>
      </c>
      <c r="B375" s="242" t="s">
        <v>1025</v>
      </c>
      <c r="C375" s="170" t="s">
        <v>337</v>
      </c>
      <c r="D375" s="242" t="s">
        <v>259</v>
      </c>
      <c r="E375" s="242">
        <v>2000</v>
      </c>
      <c r="F375" s="454">
        <f t="shared" si="6"/>
        <v>3.735455071814124</v>
      </c>
      <c r="G375" s="239">
        <v>535.41</v>
      </c>
      <c r="H375" s="242" t="s">
        <v>131</v>
      </c>
      <c r="I375" s="242" t="s">
        <v>653</v>
      </c>
      <c r="J375" s="170" t="s">
        <v>96</v>
      </c>
      <c r="K375" s="170" t="s">
        <v>345</v>
      </c>
      <c r="L375" s="170" t="s">
        <v>113</v>
      </c>
      <c r="M375" s="75"/>
      <c r="N375" s="75"/>
      <c r="O375" s="75"/>
    </row>
    <row r="376" spans="1:15" ht="15.6">
      <c r="A376" s="453">
        <v>46091</v>
      </c>
      <c r="B376" s="170" t="s">
        <v>1028</v>
      </c>
      <c r="C376" s="242" t="s">
        <v>402</v>
      </c>
      <c r="D376" s="170" t="s">
        <v>259</v>
      </c>
      <c r="E376" s="170">
        <v>9000</v>
      </c>
      <c r="F376" s="454">
        <f t="shared" si="6"/>
        <v>16.809547823163559</v>
      </c>
      <c r="G376" s="239">
        <v>535.41</v>
      </c>
      <c r="H376" s="170" t="s">
        <v>131</v>
      </c>
      <c r="I376" s="170" t="s">
        <v>666</v>
      </c>
      <c r="J376" s="170" t="s">
        <v>96</v>
      </c>
      <c r="K376" s="170" t="s">
        <v>345</v>
      </c>
      <c r="L376" s="170" t="s">
        <v>113</v>
      </c>
      <c r="M376" s="75"/>
      <c r="N376" s="75"/>
      <c r="O376" s="75"/>
    </row>
    <row r="377" spans="1:15" ht="15.6">
      <c r="A377" s="457">
        <v>46091</v>
      </c>
      <c r="B377" s="242" t="s">
        <v>1027</v>
      </c>
      <c r="C377" s="170" t="s">
        <v>337</v>
      </c>
      <c r="D377" s="242" t="s">
        <v>259</v>
      </c>
      <c r="E377" s="242">
        <v>400</v>
      </c>
      <c r="F377" s="454">
        <f t="shared" si="6"/>
        <v>0.74709101436282477</v>
      </c>
      <c r="G377" s="239">
        <v>535.41</v>
      </c>
      <c r="H377" s="242" t="s">
        <v>131</v>
      </c>
      <c r="I377" s="242" t="s">
        <v>653</v>
      </c>
      <c r="J377" s="170" t="s">
        <v>96</v>
      </c>
      <c r="K377" s="170" t="s">
        <v>345</v>
      </c>
      <c r="L377" s="170" t="s">
        <v>113</v>
      </c>
      <c r="M377" s="75"/>
      <c r="N377" s="75"/>
      <c r="O377" s="75"/>
    </row>
    <row r="378" spans="1:15" ht="15.6">
      <c r="A378" s="453">
        <v>46091</v>
      </c>
      <c r="B378" s="170" t="s">
        <v>648</v>
      </c>
      <c r="C378" s="170" t="s">
        <v>110</v>
      </c>
      <c r="D378" s="170" t="s">
        <v>259</v>
      </c>
      <c r="E378" s="170">
        <v>7500</v>
      </c>
      <c r="F378" s="454">
        <f t="shared" si="6"/>
        <v>14.007956519302965</v>
      </c>
      <c r="G378" s="239">
        <v>535.41</v>
      </c>
      <c r="H378" s="170" t="s">
        <v>131</v>
      </c>
      <c r="I378" s="170" t="s">
        <v>667</v>
      </c>
      <c r="J378" s="170" t="s">
        <v>96</v>
      </c>
      <c r="K378" s="170" t="s">
        <v>345</v>
      </c>
      <c r="L378" s="170" t="s">
        <v>113</v>
      </c>
      <c r="M378" s="75"/>
      <c r="N378" s="75"/>
      <c r="O378" s="75"/>
    </row>
    <row r="379" spans="1:15" ht="15.6">
      <c r="A379" s="468">
        <v>46091</v>
      </c>
      <c r="B379" s="170" t="s">
        <v>696</v>
      </c>
      <c r="C379" s="170" t="s">
        <v>337</v>
      </c>
      <c r="D379" s="456" t="s">
        <v>97</v>
      </c>
      <c r="E379" s="367">
        <v>1000</v>
      </c>
      <c r="F379" s="454">
        <f t="shared" si="6"/>
        <v>1.867727535907062</v>
      </c>
      <c r="G379" s="239">
        <v>535.41</v>
      </c>
      <c r="H379" s="456" t="s">
        <v>134</v>
      </c>
      <c r="I379" s="170" t="s">
        <v>730</v>
      </c>
      <c r="J379" s="170" t="s">
        <v>96</v>
      </c>
      <c r="K379" s="170" t="s">
        <v>345</v>
      </c>
      <c r="L379" s="170" t="s">
        <v>113</v>
      </c>
      <c r="M379" s="75"/>
      <c r="N379" s="75"/>
      <c r="O379" s="75"/>
    </row>
    <row r="380" spans="1:15" ht="15.6">
      <c r="A380" s="468">
        <v>46091</v>
      </c>
      <c r="B380" s="170" t="s">
        <v>697</v>
      </c>
      <c r="C380" s="170" t="s">
        <v>337</v>
      </c>
      <c r="D380" s="456" t="s">
        <v>97</v>
      </c>
      <c r="E380" s="367">
        <v>1000</v>
      </c>
      <c r="F380" s="454">
        <f t="shared" si="6"/>
        <v>1.867727535907062</v>
      </c>
      <c r="G380" s="239">
        <v>535.41</v>
      </c>
      <c r="H380" s="456" t="s">
        <v>134</v>
      </c>
      <c r="I380" s="170" t="s">
        <v>730</v>
      </c>
      <c r="J380" s="170" t="s">
        <v>96</v>
      </c>
      <c r="K380" s="170" t="s">
        <v>345</v>
      </c>
      <c r="L380" s="170" t="s">
        <v>113</v>
      </c>
      <c r="M380" s="75"/>
      <c r="N380" s="75"/>
      <c r="O380" s="75"/>
    </row>
    <row r="381" spans="1:15" ht="15.6">
      <c r="A381" s="468">
        <v>46091</v>
      </c>
      <c r="B381" s="170" t="s">
        <v>698</v>
      </c>
      <c r="C381" s="170" t="s">
        <v>337</v>
      </c>
      <c r="D381" s="456" t="s">
        <v>97</v>
      </c>
      <c r="E381" s="367">
        <v>1000</v>
      </c>
      <c r="F381" s="454">
        <f t="shared" si="6"/>
        <v>1.867727535907062</v>
      </c>
      <c r="G381" s="239">
        <v>535.41</v>
      </c>
      <c r="H381" s="456" t="s">
        <v>134</v>
      </c>
      <c r="I381" s="170" t="s">
        <v>730</v>
      </c>
      <c r="J381" s="170" t="s">
        <v>96</v>
      </c>
      <c r="K381" s="170" t="s">
        <v>345</v>
      </c>
      <c r="L381" s="170" t="s">
        <v>113</v>
      </c>
      <c r="M381" s="75"/>
      <c r="N381" s="75"/>
      <c r="O381" s="75"/>
    </row>
    <row r="382" spans="1:15" ht="15.6">
      <c r="A382" s="468">
        <v>46091</v>
      </c>
      <c r="B382" s="170" t="s">
        <v>697</v>
      </c>
      <c r="C382" s="170" t="s">
        <v>337</v>
      </c>
      <c r="D382" s="456" t="s">
        <v>97</v>
      </c>
      <c r="E382" s="367">
        <v>1000</v>
      </c>
      <c r="F382" s="454">
        <f t="shared" si="6"/>
        <v>1.867727535907062</v>
      </c>
      <c r="G382" s="239">
        <v>535.41</v>
      </c>
      <c r="H382" s="456" t="s">
        <v>134</v>
      </c>
      <c r="I382" s="170" t="s">
        <v>730</v>
      </c>
      <c r="J382" s="170" t="s">
        <v>96</v>
      </c>
      <c r="K382" s="170" t="s">
        <v>345</v>
      </c>
      <c r="L382" s="170" t="s">
        <v>113</v>
      </c>
      <c r="M382" s="75"/>
      <c r="N382" s="75"/>
      <c r="O382" s="75"/>
    </row>
    <row r="383" spans="1:15" ht="15.6">
      <c r="A383" s="468">
        <v>46091</v>
      </c>
      <c r="B383" s="170" t="s">
        <v>699</v>
      </c>
      <c r="C383" s="456" t="s">
        <v>110</v>
      </c>
      <c r="D383" s="456" t="s">
        <v>97</v>
      </c>
      <c r="E383" s="367">
        <v>7500</v>
      </c>
      <c r="F383" s="454">
        <f t="shared" si="6"/>
        <v>14.007956519302965</v>
      </c>
      <c r="G383" s="239">
        <v>535.41</v>
      </c>
      <c r="H383" s="456" t="s">
        <v>134</v>
      </c>
      <c r="I383" s="170" t="s">
        <v>731</v>
      </c>
      <c r="J383" s="170" t="s">
        <v>96</v>
      </c>
      <c r="K383" s="170" t="s">
        <v>345</v>
      </c>
      <c r="L383" s="170" t="s">
        <v>113</v>
      </c>
      <c r="M383" s="75"/>
      <c r="N383" s="75"/>
      <c r="O383" s="75"/>
    </row>
    <row r="384" spans="1:15" ht="15.6">
      <c r="A384" s="457">
        <v>46091</v>
      </c>
      <c r="B384" s="462" t="s">
        <v>746</v>
      </c>
      <c r="C384" s="462" t="s">
        <v>110</v>
      </c>
      <c r="D384" s="469" t="s">
        <v>100</v>
      </c>
      <c r="E384" s="299">
        <v>7500</v>
      </c>
      <c r="F384" s="454">
        <f t="shared" si="6"/>
        <v>14.007956519302965</v>
      </c>
      <c r="G384" s="239">
        <v>535.41</v>
      </c>
      <c r="H384" s="242" t="s">
        <v>129</v>
      </c>
      <c r="I384" s="242" t="s">
        <v>788</v>
      </c>
      <c r="J384" s="170" t="s">
        <v>96</v>
      </c>
      <c r="K384" s="170" t="s">
        <v>345</v>
      </c>
      <c r="L384" s="170" t="s">
        <v>113</v>
      </c>
      <c r="M384" s="75"/>
      <c r="N384" s="75"/>
      <c r="O384" s="75"/>
    </row>
    <row r="385" spans="1:15" ht="15.6">
      <c r="A385" s="457">
        <v>46091</v>
      </c>
      <c r="B385" s="242" t="s">
        <v>802</v>
      </c>
      <c r="C385" s="242" t="s">
        <v>110</v>
      </c>
      <c r="D385" s="242" t="s">
        <v>97</v>
      </c>
      <c r="E385" s="242">
        <v>5000</v>
      </c>
      <c r="F385" s="454">
        <f t="shared" si="6"/>
        <v>9.3386376795353101</v>
      </c>
      <c r="G385" s="239">
        <v>535.41</v>
      </c>
      <c r="H385" s="242" t="s">
        <v>124</v>
      </c>
      <c r="I385" s="242" t="s">
        <v>840</v>
      </c>
      <c r="J385" s="170" t="s">
        <v>96</v>
      </c>
      <c r="K385" s="170" t="s">
        <v>345</v>
      </c>
      <c r="L385" s="170" t="s">
        <v>113</v>
      </c>
      <c r="M385" s="75"/>
      <c r="N385" s="75"/>
      <c r="O385" s="75"/>
    </row>
    <row r="386" spans="1:15" ht="15.6">
      <c r="A386" s="450">
        <v>46091</v>
      </c>
      <c r="B386" s="243" t="s">
        <v>931</v>
      </c>
      <c r="C386" s="170" t="s">
        <v>104</v>
      </c>
      <c r="D386" s="242" t="s">
        <v>99</v>
      </c>
      <c r="E386" s="245">
        <v>700000</v>
      </c>
      <c r="F386" s="454">
        <f t="shared" si="6"/>
        <v>1307.4092751349433</v>
      </c>
      <c r="G386" s="239">
        <v>535.41</v>
      </c>
      <c r="H386" s="242" t="s">
        <v>107</v>
      </c>
      <c r="I386" s="242" t="s">
        <v>966</v>
      </c>
      <c r="J386" s="170" t="s">
        <v>96</v>
      </c>
      <c r="K386" s="170" t="s">
        <v>345</v>
      </c>
      <c r="L386" s="170" t="s">
        <v>113</v>
      </c>
      <c r="M386" s="75"/>
      <c r="N386" s="75"/>
      <c r="O386" s="75"/>
    </row>
    <row r="387" spans="1:15" ht="15.6">
      <c r="A387" s="450">
        <v>46091</v>
      </c>
      <c r="B387" s="243" t="s">
        <v>932</v>
      </c>
      <c r="C387" s="170" t="s">
        <v>104</v>
      </c>
      <c r="D387" s="242" t="s">
        <v>99</v>
      </c>
      <c r="E387" s="245">
        <v>1311000</v>
      </c>
      <c r="F387" s="454">
        <f t="shared" si="6"/>
        <v>2448.5907995741582</v>
      </c>
      <c r="G387" s="239">
        <v>535.41</v>
      </c>
      <c r="H387" s="242" t="s">
        <v>107</v>
      </c>
      <c r="I387" s="242" t="s">
        <v>967</v>
      </c>
      <c r="J387" s="170" t="s">
        <v>96</v>
      </c>
      <c r="K387" s="170" t="s">
        <v>345</v>
      </c>
      <c r="L387" s="170" t="s">
        <v>113</v>
      </c>
      <c r="M387" s="75"/>
      <c r="N387" s="75"/>
      <c r="O387" s="75"/>
    </row>
    <row r="388" spans="1:15" ht="15.6">
      <c r="A388" s="450">
        <v>46091</v>
      </c>
      <c r="B388" s="243" t="s">
        <v>932</v>
      </c>
      <c r="C388" s="170" t="s">
        <v>104</v>
      </c>
      <c r="D388" s="242" t="s">
        <v>99</v>
      </c>
      <c r="E388" s="245">
        <v>1311000</v>
      </c>
      <c r="F388" s="454">
        <f t="shared" si="6"/>
        <v>2448.5907995741582</v>
      </c>
      <c r="G388" s="239">
        <v>535.41</v>
      </c>
      <c r="H388" s="242" t="s">
        <v>107</v>
      </c>
      <c r="I388" s="242" t="s">
        <v>968</v>
      </c>
      <c r="J388" s="170" t="s">
        <v>96</v>
      </c>
      <c r="K388" s="170" t="s">
        <v>345</v>
      </c>
      <c r="L388" s="170" t="s">
        <v>113</v>
      </c>
      <c r="M388" s="75"/>
      <c r="N388" s="75"/>
      <c r="O388" s="75"/>
    </row>
    <row r="389" spans="1:15" ht="15.6">
      <c r="A389" s="450">
        <v>46091</v>
      </c>
      <c r="B389" s="243" t="s">
        <v>933</v>
      </c>
      <c r="C389" s="170" t="s">
        <v>104</v>
      </c>
      <c r="D389" s="170" t="s">
        <v>98</v>
      </c>
      <c r="E389" s="245">
        <v>258800</v>
      </c>
      <c r="F389" s="454">
        <f t="shared" si="6"/>
        <v>483.36788629274764</v>
      </c>
      <c r="G389" s="239">
        <v>535.41</v>
      </c>
      <c r="H389" s="242" t="s">
        <v>107</v>
      </c>
      <c r="I389" s="242" t="s">
        <v>969</v>
      </c>
      <c r="J389" s="170" t="s">
        <v>96</v>
      </c>
      <c r="K389" s="170" t="s">
        <v>345</v>
      </c>
      <c r="L389" s="170" t="s">
        <v>113</v>
      </c>
      <c r="M389" s="75"/>
      <c r="N389" s="75"/>
      <c r="O389" s="75"/>
    </row>
    <row r="390" spans="1:15" ht="15.6">
      <c r="A390" s="450">
        <v>46091</v>
      </c>
      <c r="B390" s="243" t="s">
        <v>934</v>
      </c>
      <c r="C390" s="170" t="s">
        <v>104</v>
      </c>
      <c r="D390" s="170" t="s">
        <v>98</v>
      </c>
      <c r="E390" s="245">
        <v>274914</v>
      </c>
      <c r="F390" s="454">
        <f t="shared" si="6"/>
        <v>513.46444780635409</v>
      </c>
      <c r="G390" s="239">
        <v>535.41</v>
      </c>
      <c r="H390" s="242" t="s">
        <v>107</v>
      </c>
      <c r="I390" s="242" t="s">
        <v>970</v>
      </c>
      <c r="J390" s="170" t="s">
        <v>96</v>
      </c>
      <c r="K390" s="170" t="s">
        <v>345</v>
      </c>
      <c r="L390" s="170" t="s">
        <v>113</v>
      </c>
      <c r="M390" s="75"/>
      <c r="N390" s="75"/>
      <c r="O390" s="75"/>
    </row>
    <row r="391" spans="1:15" ht="15.6">
      <c r="A391" s="450">
        <v>46091</v>
      </c>
      <c r="B391" s="243" t="s">
        <v>935</v>
      </c>
      <c r="C391" s="170" t="s">
        <v>104</v>
      </c>
      <c r="D391" s="170" t="s">
        <v>98</v>
      </c>
      <c r="E391" s="245">
        <v>187886</v>
      </c>
      <c r="F391" s="454">
        <f t="shared" si="6"/>
        <v>350.91985581143427</v>
      </c>
      <c r="G391" s="239">
        <v>535.41</v>
      </c>
      <c r="H391" s="242" t="s">
        <v>107</v>
      </c>
      <c r="I391" s="242" t="s">
        <v>971</v>
      </c>
      <c r="J391" s="170" t="s">
        <v>96</v>
      </c>
      <c r="K391" s="170" t="s">
        <v>345</v>
      </c>
      <c r="L391" s="170" t="s">
        <v>113</v>
      </c>
      <c r="M391" s="75"/>
      <c r="N391" s="75"/>
      <c r="O391" s="75"/>
    </row>
    <row r="392" spans="1:15" ht="15.6">
      <c r="A392" s="450">
        <v>46091</v>
      </c>
      <c r="B392" s="243" t="s">
        <v>1014</v>
      </c>
      <c r="C392" s="170" t="s">
        <v>280</v>
      </c>
      <c r="D392" s="249" t="s">
        <v>97</v>
      </c>
      <c r="E392" s="298">
        <v>150000</v>
      </c>
      <c r="F392" s="454">
        <f t="shared" si="6"/>
        <v>280.1591303860593</v>
      </c>
      <c r="G392" s="239">
        <v>535.41</v>
      </c>
      <c r="H392" s="242" t="s">
        <v>107</v>
      </c>
      <c r="I392" s="242" t="s">
        <v>972</v>
      </c>
      <c r="J392" s="170" t="s">
        <v>96</v>
      </c>
      <c r="K392" s="170" t="s">
        <v>345</v>
      </c>
      <c r="L392" s="170" t="s">
        <v>113</v>
      </c>
      <c r="M392" s="75"/>
      <c r="N392" s="75"/>
      <c r="O392" s="75"/>
    </row>
    <row r="393" spans="1:15" ht="15.6">
      <c r="A393" s="450">
        <v>46091</v>
      </c>
      <c r="B393" s="243" t="s">
        <v>1015</v>
      </c>
      <c r="C393" s="248" t="s">
        <v>280</v>
      </c>
      <c r="D393" s="249" t="s">
        <v>97</v>
      </c>
      <c r="E393" s="298">
        <v>150000</v>
      </c>
      <c r="F393" s="454">
        <f t="shared" si="6"/>
        <v>280.1591303860593</v>
      </c>
      <c r="G393" s="239">
        <v>535.41</v>
      </c>
      <c r="H393" s="242" t="s">
        <v>107</v>
      </c>
      <c r="I393" s="242" t="s">
        <v>973</v>
      </c>
      <c r="J393" s="170" t="s">
        <v>96</v>
      </c>
      <c r="K393" s="170" t="s">
        <v>345</v>
      </c>
      <c r="L393" s="170" t="s">
        <v>113</v>
      </c>
      <c r="M393" s="75"/>
      <c r="N393" s="75"/>
      <c r="O393" s="75"/>
    </row>
    <row r="394" spans="1:15" ht="15.6">
      <c r="A394" s="450">
        <v>46091</v>
      </c>
      <c r="B394" s="243" t="s">
        <v>1016</v>
      </c>
      <c r="C394" s="248" t="s">
        <v>280</v>
      </c>
      <c r="D394" s="249" t="s">
        <v>97</v>
      </c>
      <c r="E394" s="298">
        <v>150000</v>
      </c>
      <c r="F394" s="454">
        <f t="shared" si="6"/>
        <v>280.1591303860593</v>
      </c>
      <c r="G394" s="239">
        <v>535.41</v>
      </c>
      <c r="H394" s="242" t="s">
        <v>107</v>
      </c>
      <c r="I394" s="242" t="s">
        <v>974</v>
      </c>
      <c r="J394" s="170" t="s">
        <v>96</v>
      </c>
      <c r="K394" s="170" t="s">
        <v>345</v>
      </c>
      <c r="L394" s="170" t="s">
        <v>113</v>
      </c>
      <c r="M394" s="75"/>
      <c r="N394" s="75"/>
      <c r="O394" s="75"/>
    </row>
    <row r="395" spans="1:15" ht="15.6">
      <c r="A395" s="450">
        <v>46091</v>
      </c>
      <c r="B395" s="350" t="s">
        <v>1010</v>
      </c>
      <c r="C395" s="350" t="s">
        <v>130</v>
      </c>
      <c r="D395" s="350" t="s">
        <v>98</v>
      </c>
      <c r="E395" s="245">
        <v>260000</v>
      </c>
      <c r="F395" s="454">
        <f t="shared" si="6"/>
        <v>485.60915933583613</v>
      </c>
      <c r="G395" s="239">
        <v>535.41</v>
      </c>
      <c r="H395" s="242" t="s">
        <v>107</v>
      </c>
      <c r="I395" s="242" t="s">
        <v>975</v>
      </c>
      <c r="J395" s="170" t="s">
        <v>96</v>
      </c>
      <c r="K395" s="170" t="s">
        <v>345</v>
      </c>
      <c r="L395" s="170" t="s">
        <v>113</v>
      </c>
      <c r="M395" s="75"/>
      <c r="N395" s="75"/>
      <c r="O395" s="75"/>
    </row>
    <row r="396" spans="1:15" ht="15.6">
      <c r="A396" s="450">
        <v>46091</v>
      </c>
      <c r="B396" s="350" t="s">
        <v>1011</v>
      </c>
      <c r="C396" s="350" t="s">
        <v>103</v>
      </c>
      <c r="D396" s="350" t="s">
        <v>98</v>
      </c>
      <c r="E396" s="245">
        <v>500000</v>
      </c>
      <c r="F396" s="454">
        <f t="shared" si="6"/>
        <v>933.86376795353101</v>
      </c>
      <c r="G396" s="239">
        <v>535.41</v>
      </c>
      <c r="H396" s="242" t="s">
        <v>107</v>
      </c>
      <c r="I396" s="242" t="s">
        <v>976</v>
      </c>
      <c r="J396" s="170" t="s">
        <v>96</v>
      </c>
      <c r="K396" s="170" t="s">
        <v>345</v>
      </c>
      <c r="L396" s="170" t="s">
        <v>113</v>
      </c>
      <c r="M396" s="75"/>
      <c r="N396" s="75"/>
      <c r="O396" s="75"/>
    </row>
    <row r="397" spans="1:15" ht="15.6">
      <c r="A397" s="450">
        <v>46091</v>
      </c>
      <c r="B397" s="243" t="s">
        <v>936</v>
      </c>
      <c r="C397" s="170" t="s">
        <v>278</v>
      </c>
      <c r="D397" s="248" t="s">
        <v>98</v>
      </c>
      <c r="E397" s="245">
        <v>10665</v>
      </c>
      <c r="F397" s="454">
        <f t="shared" si="6"/>
        <v>19.919314170448818</v>
      </c>
      <c r="G397" s="239">
        <v>535.41</v>
      </c>
      <c r="H397" s="242" t="s">
        <v>107</v>
      </c>
      <c r="I397" s="242" t="s">
        <v>977</v>
      </c>
      <c r="J397" s="170" t="s">
        <v>96</v>
      </c>
      <c r="K397" s="170" t="s">
        <v>345</v>
      </c>
      <c r="L397" s="170" t="s">
        <v>113</v>
      </c>
      <c r="M397" s="75"/>
      <c r="N397" s="75"/>
      <c r="O397" s="75"/>
    </row>
    <row r="398" spans="1:15" ht="15.6">
      <c r="A398" s="450">
        <v>46091</v>
      </c>
      <c r="B398" s="243" t="s">
        <v>937</v>
      </c>
      <c r="C398" s="170" t="s">
        <v>278</v>
      </c>
      <c r="D398" s="248" t="s">
        <v>98</v>
      </c>
      <c r="E398" s="245">
        <v>10665</v>
      </c>
      <c r="F398" s="454">
        <f t="shared" si="6"/>
        <v>19.919314170448818</v>
      </c>
      <c r="G398" s="239">
        <v>535.41</v>
      </c>
      <c r="H398" s="242" t="s">
        <v>107</v>
      </c>
      <c r="I398" s="242" t="s">
        <v>978</v>
      </c>
      <c r="J398" s="170" t="s">
        <v>96</v>
      </c>
      <c r="K398" s="170" t="s">
        <v>345</v>
      </c>
      <c r="L398" s="170" t="s">
        <v>113</v>
      </c>
      <c r="M398" s="75"/>
      <c r="N398" s="75"/>
      <c r="O398" s="75"/>
    </row>
    <row r="399" spans="1:15" ht="15.6">
      <c r="A399" s="457">
        <v>46092</v>
      </c>
      <c r="B399" s="242" t="s">
        <v>362</v>
      </c>
      <c r="C399" s="170" t="s">
        <v>337</v>
      </c>
      <c r="D399" s="458" t="s">
        <v>99</v>
      </c>
      <c r="E399" s="242">
        <v>500</v>
      </c>
      <c r="F399" s="454">
        <f t="shared" si="6"/>
        <v>0.93858175869656413</v>
      </c>
      <c r="G399" s="239">
        <v>532.71864210781655</v>
      </c>
      <c r="H399" s="459" t="s">
        <v>111</v>
      </c>
      <c r="I399" s="170" t="s">
        <v>380</v>
      </c>
      <c r="J399" s="170" t="s">
        <v>96</v>
      </c>
      <c r="K399" s="170" t="s">
        <v>345</v>
      </c>
      <c r="L399" s="170" t="s">
        <v>113</v>
      </c>
      <c r="M399" s="361"/>
      <c r="N399" s="361"/>
      <c r="O399" s="271"/>
    </row>
    <row r="400" spans="1:15" ht="15.6">
      <c r="A400" s="457">
        <v>46092</v>
      </c>
      <c r="B400" s="242" t="s">
        <v>363</v>
      </c>
      <c r="C400" s="170" t="s">
        <v>337</v>
      </c>
      <c r="D400" s="458" t="s">
        <v>99</v>
      </c>
      <c r="E400" s="242">
        <v>1000</v>
      </c>
      <c r="F400" s="454">
        <f t="shared" si="6"/>
        <v>1.8771635173931283</v>
      </c>
      <c r="G400" s="239">
        <v>532.71864210781655</v>
      </c>
      <c r="H400" s="459" t="s">
        <v>111</v>
      </c>
      <c r="I400" s="170" t="s">
        <v>380</v>
      </c>
      <c r="J400" s="170" t="s">
        <v>96</v>
      </c>
      <c r="K400" s="170" t="s">
        <v>345</v>
      </c>
      <c r="L400" s="170" t="s">
        <v>113</v>
      </c>
      <c r="M400" s="361"/>
      <c r="N400" s="361"/>
      <c r="O400" s="271"/>
    </row>
    <row r="401" spans="1:15" ht="15.6">
      <c r="A401" s="457">
        <v>46092</v>
      </c>
      <c r="B401" s="242" t="s">
        <v>360</v>
      </c>
      <c r="C401" s="170" t="s">
        <v>337</v>
      </c>
      <c r="D401" s="458" t="s">
        <v>99</v>
      </c>
      <c r="E401" s="242">
        <v>1000</v>
      </c>
      <c r="F401" s="454">
        <f t="shared" si="6"/>
        <v>1.8771635173931283</v>
      </c>
      <c r="G401" s="239">
        <v>532.71864210781655</v>
      </c>
      <c r="H401" s="459" t="s">
        <v>111</v>
      </c>
      <c r="I401" s="170" t="s">
        <v>380</v>
      </c>
      <c r="J401" s="170" t="s">
        <v>96</v>
      </c>
      <c r="K401" s="170" t="s">
        <v>345</v>
      </c>
      <c r="L401" s="170" t="s">
        <v>113</v>
      </c>
      <c r="M401" s="361"/>
      <c r="N401" s="361"/>
      <c r="O401" s="271"/>
    </row>
    <row r="402" spans="1:15" ht="15.6">
      <c r="A402" s="457">
        <v>46092</v>
      </c>
      <c r="B402" s="242" t="s">
        <v>364</v>
      </c>
      <c r="C402" s="170" t="s">
        <v>337</v>
      </c>
      <c r="D402" s="458" t="s">
        <v>99</v>
      </c>
      <c r="E402" s="242">
        <v>1000</v>
      </c>
      <c r="F402" s="454">
        <f t="shared" si="6"/>
        <v>1.8677282335885521</v>
      </c>
      <c r="G402" s="239">
        <v>535.40980000000002</v>
      </c>
      <c r="H402" s="459" t="s">
        <v>111</v>
      </c>
      <c r="I402" s="170" t="s">
        <v>380</v>
      </c>
      <c r="J402" s="170" t="s">
        <v>96</v>
      </c>
      <c r="K402" s="170" t="s">
        <v>345</v>
      </c>
      <c r="L402" s="170" t="s">
        <v>113</v>
      </c>
      <c r="M402" s="364"/>
      <c r="N402" s="364"/>
      <c r="O402" s="75"/>
    </row>
    <row r="403" spans="1:15" ht="15.6">
      <c r="A403" s="457">
        <v>46092</v>
      </c>
      <c r="B403" s="242" t="s">
        <v>365</v>
      </c>
      <c r="C403" s="170" t="s">
        <v>337</v>
      </c>
      <c r="D403" s="458" t="s">
        <v>99</v>
      </c>
      <c r="E403" s="242">
        <v>1000</v>
      </c>
      <c r="F403" s="454">
        <f t="shared" si="6"/>
        <v>1.8677282335885521</v>
      </c>
      <c r="G403" s="239">
        <v>535.40980000000002</v>
      </c>
      <c r="H403" s="459" t="s">
        <v>111</v>
      </c>
      <c r="I403" s="170" t="s">
        <v>380</v>
      </c>
      <c r="J403" s="170" t="s">
        <v>96</v>
      </c>
      <c r="K403" s="170" t="s">
        <v>345</v>
      </c>
      <c r="L403" s="170" t="s">
        <v>113</v>
      </c>
      <c r="M403" s="364"/>
      <c r="N403" s="364"/>
      <c r="O403" s="75"/>
    </row>
    <row r="404" spans="1:15" ht="15.6">
      <c r="A404" s="453">
        <v>46092</v>
      </c>
      <c r="B404" s="242" t="s">
        <v>453</v>
      </c>
      <c r="C404" s="242" t="s">
        <v>130</v>
      </c>
      <c r="D404" s="242" t="s">
        <v>98</v>
      </c>
      <c r="E404" s="460">
        <v>80000</v>
      </c>
      <c r="F404" s="454">
        <f t="shared" si="6"/>
        <v>149.41820287256496</v>
      </c>
      <c r="G404" s="239">
        <v>535.41</v>
      </c>
      <c r="H404" s="242" t="s">
        <v>168</v>
      </c>
      <c r="I404" s="170" t="s">
        <v>516</v>
      </c>
      <c r="J404" s="170" t="s">
        <v>96</v>
      </c>
      <c r="K404" s="170" t="s">
        <v>345</v>
      </c>
      <c r="L404" s="170" t="s">
        <v>113</v>
      </c>
      <c r="M404" s="75"/>
      <c r="N404" s="75"/>
      <c r="O404" s="75"/>
    </row>
    <row r="405" spans="1:15" ht="15.6">
      <c r="A405" s="428">
        <v>46092</v>
      </c>
      <c r="B405" s="429" t="s">
        <v>1033</v>
      </c>
      <c r="C405" s="170" t="s">
        <v>337</v>
      </c>
      <c r="D405" s="429" t="s">
        <v>259</v>
      </c>
      <c r="E405" s="429">
        <v>1000</v>
      </c>
      <c r="F405" s="454">
        <f t="shared" si="6"/>
        <v>1.867727535907062</v>
      </c>
      <c r="G405" s="239">
        <v>535.41</v>
      </c>
      <c r="H405" s="429" t="s">
        <v>123</v>
      </c>
      <c r="I405" s="429" t="s">
        <v>550</v>
      </c>
      <c r="J405" s="170" t="s">
        <v>96</v>
      </c>
      <c r="K405" s="170" t="s">
        <v>345</v>
      </c>
      <c r="L405" s="170" t="s">
        <v>113</v>
      </c>
      <c r="M405" s="75"/>
      <c r="N405" s="75"/>
      <c r="O405" s="75"/>
    </row>
    <row r="406" spans="1:15" ht="15.6">
      <c r="A406" s="428">
        <v>46092</v>
      </c>
      <c r="B406" s="429" t="s">
        <v>1033</v>
      </c>
      <c r="C406" s="170" t="s">
        <v>337</v>
      </c>
      <c r="D406" s="429" t="s">
        <v>259</v>
      </c>
      <c r="E406" s="429">
        <v>1500</v>
      </c>
      <c r="F406" s="454">
        <f t="shared" si="6"/>
        <v>2.8015913038605929</v>
      </c>
      <c r="G406" s="239">
        <v>535.41</v>
      </c>
      <c r="H406" s="429" t="s">
        <v>123</v>
      </c>
      <c r="I406" s="429" t="s">
        <v>550</v>
      </c>
      <c r="J406" s="170" t="s">
        <v>96</v>
      </c>
      <c r="K406" s="170" t="s">
        <v>345</v>
      </c>
      <c r="L406" s="170" t="s">
        <v>113</v>
      </c>
      <c r="M406" s="75"/>
      <c r="N406" s="75"/>
      <c r="O406" s="75"/>
    </row>
    <row r="407" spans="1:15" ht="15.6">
      <c r="A407" s="428">
        <v>46092</v>
      </c>
      <c r="B407" s="429" t="s">
        <v>1033</v>
      </c>
      <c r="C407" s="170" t="s">
        <v>337</v>
      </c>
      <c r="D407" s="429" t="s">
        <v>259</v>
      </c>
      <c r="E407" s="429">
        <v>1500</v>
      </c>
      <c r="F407" s="454">
        <f t="shared" si="6"/>
        <v>2.8015913038605929</v>
      </c>
      <c r="G407" s="239">
        <v>535.41</v>
      </c>
      <c r="H407" s="429" t="s">
        <v>123</v>
      </c>
      <c r="I407" s="429" t="s">
        <v>550</v>
      </c>
      <c r="J407" s="170" t="s">
        <v>96</v>
      </c>
      <c r="K407" s="170" t="s">
        <v>345</v>
      </c>
      <c r="L407" s="170" t="s">
        <v>113</v>
      </c>
      <c r="M407" s="75"/>
      <c r="N407" s="75"/>
      <c r="O407" s="75"/>
    </row>
    <row r="408" spans="1:15" ht="15.6">
      <c r="A408" s="428">
        <v>46092</v>
      </c>
      <c r="B408" s="429" t="s">
        <v>1033</v>
      </c>
      <c r="C408" s="170" t="s">
        <v>337</v>
      </c>
      <c r="D408" s="429" t="s">
        <v>259</v>
      </c>
      <c r="E408" s="429">
        <v>1000</v>
      </c>
      <c r="F408" s="454">
        <f t="shared" si="6"/>
        <v>1.867727535907062</v>
      </c>
      <c r="G408" s="239">
        <v>535.41</v>
      </c>
      <c r="H408" s="429" t="s">
        <v>123</v>
      </c>
      <c r="I408" s="429" t="s">
        <v>550</v>
      </c>
      <c r="J408" s="170" t="s">
        <v>96</v>
      </c>
      <c r="K408" s="170" t="s">
        <v>345</v>
      </c>
      <c r="L408" s="170" t="s">
        <v>113</v>
      </c>
      <c r="M408" s="75"/>
      <c r="N408" s="75"/>
      <c r="O408" s="75"/>
    </row>
    <row r="409" spans="1:15" ht="15.6">
      <c r="A409" s="428">
        <v>46092</v>
      </c>
      <c r="B409" s="429" t="s">
        <v>1033</v>
      </c>
      <c r="C409" s="170" t="s">
        <v>337</v>
      </c>
      <c r="D409" s="429" t="s">
        <v>259</v>
      </c>
      <c r="E409" s="429">
        <v>1000</v>
      </c>
      <c r="F409" s="454">
        <f t="shared" si="6"/>
        <v>1.867727535907062</v>
      </c>
      <c r="G409" s="239">
        <v>535.41</v>
      </c>
      <c r="H409" s="429" t="s">
        <v>123</v>
      </c>
      <c r="I409" s="429" t="s">
        <v>550</v>
      </c>
      <c r="J409" s="170" t="s">
        <v>96</v>
      </c>
      <c r="K409" s="170" t="s">
        <v>345</v>
      </c>
      <c r="L409" s="170" t="s">
        <v>113</v>
      </c>
      <c r="M409" s="75"/>
      <c r="N409" s="75"/>
      <c r="O409" s="75"/>
    </row>
    <row r="410" spans="1:15" ht="15.6">
      <c r="A410" s="428">
        <v>46092</v>
      </c>
      <c r="B410" s="429" t="s">
        <v>545</v>
      </c>
      <c r="C410" s="429" t="s">
        <v>541</v>
      </c>
      <c r="D410" s="429" t="s">
        <v>259</v>
      </c>
      <c r="E410" s="429">
        <v>2000</v>
      </c>
      <c r="F410" s="454">
        <f t="shared" si="6"/>
        <v>3.735455071814124</v>
      </c>
      <c r="G410" s="239">
        <v>535.41</v>
      </c>
      <c r="H410" s="429" t="s">
        <v>123</v>
      </c>
      <c r="I410" s="429" t="s">
        <v>551</v>
      </c>
      <c r="J410" s="170" t="s">
        <v>96</v>
      </c>
      <c r="K410" s="170" t="s">
        <v>345</v>
      </c>
      <c r="L410" s="170" t="s">
        <v>113</v>
      </c>
      <c r="M410" s="75"/>
      <c r="N410" s="75"/>
      <c r="O410" s="75"/>
    </row>
    <row r="411" spans="1:15" ht="15.6">
      <c r="A411" s="457">
        <v>46092</v>
      </c>
      <c r="B411" s="242" t="s">
        <v>1046</v>
      </c>
      <c r="C411" s="242" t="s">
        <v>406</v>
      </c>
      <c r="D411" s="242" t="s">
        <v>259</v>
      </c>
      <c r="E411" s="242">
        <v>250000</v>
      </c>
      <c r="F411" s="454">
        <f t="shared" si="6"/>
        <v>466.9318839767655</v>
      </c>
      <c r="G411" s="239">
        <v>535.41</v>
      </c>
      <c r="H411" s="242" t="s">
        <v>122</v>
      </c>
      <c r="I411" s="242" t="s">
        <v>607</v>
      </c>
      <c r="J411" s="170" t="s">
        <v>96</v>
      </c>
      <c r="K411" s="170" t="s">
        <v>345</v>
      </c>
      <c r="L411" s="170" t="s">
        <v>113</v>
      </c>
      <c r="M411" s="75"/>
      <c r="N411" s="75"/>
      <c r="O411" s="75"/>
    </row>
    <row r="412" spans="1:15" ht="15.6">
      <c r="A412" s="457">
        <v>46092</v>
      </c>
      <c r="B412" s="242" t="s">
        <v>1025</v>
      </c>
      <c r="C412" s="170" t="s">
        <v>337</v>
      </c>
      <c r="D412" s="242" t="s">
        <v>259</v>
      </c>
      <c r="E412" s="242">
        <v>1000</v>
      </c>
      <c r="F412" s="454">
        <f t="shared" si="6"/>
        <v>1.867727535907062</v>
      </c>
      <c r="G412" s="239">
        <v>535.41</v>
      </c>
      <c r="H412" s="242" t="s">
        <v>122</v>
      </c>
      <c r="I412" s="242" t="s">
        <v>594</v>
      </c>
      <c r="J412" s="170" t="s">
        <v>96</v>
      </c>
      <c r="K412" s="170" t="s">
        <v>345</v>
      </c>
      <c r="L412" s="170" t="s">
        <v>113</v>
      </c>
      <c r="M412" s="75"/>
      <c r="N412" s="75"/>
      <c r="O412" s="75"/>
    </row>
    <row r="413" spans="1:15" ht="15.6">
      <c r="A413" s="457">
        <v>46092</v>
      </c>
      <c r="B413" s="242" t="s">
        <v>1025</v>
      </c>
      <c r="C413" s="170" t="s">
        <v>337</v>
      </c>
      <c r="D413" s="242" t="s">
        <v>259</v>
      </c>
      <c r="E413" s="242">
        <v>500</v>
      </c>
      <c r="F413" s="454">
        <f t="shared" si="6"/>
        <v>0.93386376795353099</v>
      </c>
      <c r="G413" s="239">
        <v>535.41</v>
      </c>
      <c r="H413" s="242" t="s">
        <v>122</v>
      </c>
      <c r="I413" s="242" t="s">
        <v>594</v>
      </c>
      <c r="J413" s="170" t="s">
        <v>96</v>
      </c>
      <c r="K413" s="170" t="s">
        <v>345</v>
      </c>
      <c r="L413" s="170" t="s">
        <v>113</v>
      </c>
      <c r="M413" s="75"/>
      <c r="N413" s="75"/>
      <c r="O413" s="75"/>
    </row>
    <row r="414" spans="1:15" ht="15.6">
      <c r="A414" s="457">
        <v>46092</v>
      </c>
      <c r="B414" s="242" t="s">
        <v>1027</v>
      </c>
      <c r="C414" s="170" t="s">
        <v>337</v>
      </c>
      <c r="D414" s="242" t="s">
        <v>259</v>
      </c>
      <c r="E414" s="242">
        <v>500</v>
      </c>
      <c r="F414" s="454">
        <f t="shared" si="6"/>
        <v>0.93386376795353099</v>
      </c>
      <c r="G414" s="239">
        <v>535.41</v>
      </c>
      <c r="H414" s="242" t="s">
        <v>131</v>
      </c>
      <c r="I414" s="242" t="s">
        <v>653</v>
      </c>
      <c r="J414" s="170" t="s">
        <v>96</v>
      </c>
      <c r="K414" s="170" t="s">
        <v>345</v>
      </c>
      <c r="L414" s="170" t="s">
        <v>113</v>
      </c>
      <c r="M414" s="75"/>
      <c r="N414" s="75"/>
      <c r="O414" s="75"/>
    </row>
    <row r="415" spans="1:15" ht="15.6">
      <c r="A415" s="457">
        <v>46092</v>
      </c>
      <c r="B415" s="242" t="s">
        <v>1027</v>
      </c>
      <c r="C415" s="170" t="s">
        <v>337</v>
      </c>
      <c r="D415" s="242" t="s">
        <v>259</v>
      </c>
      <c r="E415" s="242">
        <v>400</v>
      </c>
      <c r="F415" s="454">
        <f t="shared" ref="F415:F478" si="7">E415/G415</f>
        <v>0.74709101436282477</v>
      </c>
      <c r="G415" s="239">
        <v>535.41</v>
      </c>
      <c r="H415" s="242" t="s">
        <v>131</v>
      </c>
      <c r="I415" s="242" t="s">
        <v>653</v>
      </c>
      <c r="J415" s="170" t="s">
        <v>96</v>
      </c>
      <c r="K415" s="170" t="s">
        <v>345</v>
      </c>
      <c r="L415" s="170" t="s">
        <v>113</v>
      </c>
      <c r="M415" s="75"/>
      <c r="N415" s="75"/>
      <c r="O415" s="75"/>
    </row>
    <row r="416" spans="1:15" ht="15.6">
      <c r="A416" s="457">
        <v>46092</v>
      </c>
      <c r="B416" s="242" t="s">
        <v>1031</v>
      </c>
      <c r="C416" s="170" t="s">
        <v>337</v>
      </c>
      <c r="D416" s="242" t="s">
        <v>259</v>
      </c>
      <c r="E416" s="242">
        <v>500</v>
      </c>
      <c r="F416" s="454">
        <f t="shared" si="7"/>
        <v>0.93386376795353099</v>
      </c>
      <c r="G416" s="239">
        <v>535.41</v>
      </c>
      <c r="H416" s="242" t="s">
        <v>131</v>
      </c>
      <c r="I416" s="242" t="s">
        <v>653</v>
      </c>
      <c r="J416" s="170" t="s">
        <v>96</v>
      </c>
      <c r="K416" s="170" t="s">
        <v>345</v>
      </c>
      <c r="L416" s="170" t="s">
        <v>113</v>
      </c>
      <c r="M416" s="75"/>
      <c r="N416" s="75"/>
      <c r="O416" s="75"/>
    </row>
    <row r="417" spans="1:15" ht="15.6">
      <c r="A417" s="457">
        <v>46092</v>
      </c>
      <c r="B417" s="242" t="s">
        <v>1031</v>
      </c>
      <c r="C417" s="170" t="s">
        <v>337</v>
      </c>
      <c r="D417" s="242" t="s">
        <v>259</v>
      </c>
      <c r="E417" s="242">
        <v>500</v>
      </c>
      <c r="F417" s="454">
        <f t="shared" si="7"/>
        <v>0.93386376795353099</v>
      </c>
      <c r="G417" s="239">
        <v>535.41</v>
      </c>
      <c r="H417" s="242" t="s">
        <v>131</v>
      </c>
      <c r="I417" s="242" t="s">
        <v>653</v>
      </c>
      <c r="J417" s="170" t="s">
        <v>96</v>
      </c>
      <c r="K417" s="170" t="s">
        <v>345</v>
      </c>
      <c r="L417" s="170" t="s">
        <v>113</v>
      </c>
      <c r="M417" s="75"/>
      <c r="N417" s="75"/>
      <c r="O417" s="75"/>
    </row>
    <row r="418" spans="1:15" ht="15.6">
      <c r="A418" s="457">
        <v>46092</v>
      </c>
      <c r="B418" s="242" t="s">
        <v>1027</v>
      </c>
      <c r="C418" s="170" t="s">
        <v>337</v>
      </c>
      <c r="D418" s="242" t="s">
        <v>259</v>
      </c>
      <c r="E418" s="242">
        <v>400</v>
      </c>
      <c r="F418" s="454">
        <f t="shared" si="7"/>
        <v>0.74709101436282477</v>
      </c>
      <c r="G418" s="239">
        <v>535.41</v>
      </c>
      <c r="H418" s="242" t="s">
        <v>131</v>
      </c>
      <c r="I418" s="242" t="s">
        <v>653</v>
      </c>
      <c r="J418" s="170" t="s">
        <v>96</v>
      </c>
      <c r="K418" s="170" t="s">
        <v>345</v>
      </c>
      <c r="L418" s="170" t="s">
        <v>113</v>
      </c>
      <c r="M418" s="75"/>
      <c r="N418" s="75"/>
      <c r="O418" s="75"/>
    </row>
    <row r="419" spans="1:15" ht="15.6">
      <c r="A419" s="453">
        <v>46092</v>
      </c>
      <c r="B419" s="170" t="s">
        <v>1047</v>
      </c>
      <c r="C419" s="170" t="s">
        <v>647</v>
      </c>
      <c r="D419" s="170" t="s">
        <v>259</v>
      </c>
      <c r="E419" s="170">
        <v>5500</v>
      </c>
      <c r="F419" s="454">
        <f t="shared" si="7"/>
        <v>10.272501447488841</v>
      </c>
      <c r="G419" s="239">
        <v>535.41</v>
      </c>
      <c r="H419" s="170" t="s">
        <v>131</v>
      </c>
      <c r="I419" s="242" t="s">
        <v>658</v>
      </c>
      <c r="J419" s="170" t="s">
        <v>96</v>
      </c>
      <c r="K419" s="170" t="s">
        <v>345</v>
      </c>
      <c r="L419" s="170" t="s">
        <v>113</v>
      </c>
      <c r="M419" s="75"/>
      <c r="N419" s="75"/>
      <c r="O419" s="75"/>
    </row>
    <row r="420" spans="1:15" ht="15.6">
      <c r="A420" s="457">
        <v>46092</v>
      </c>
      <c r="B420" s="242" t="s">
        <v>1027</v>
      </c>
      <c r="C420" s="170" t="s">
        <v>337</v>
      </c>
      <c r="D420" s="242" t="s">
        <v>259</v>
      </c>
      <c r="E420" s="242">
        <v>500</v>
      </c>
      <c r="F420" s="454">
        <f t="shared" si="7"/>
        <v>0.93386376795353099</v>
      </c>
      <c r="G420" s="239">
        <v>535.41</v>
      </c>
      <c r="H420" s="242" t="s">
        <v>131</v>
      </c>
      <c r="I420" s="242" t="s">
        <v>653</v>
      </c>
      <c r="J420" s="170" t="s">
        <v>96</v>
      </c>
      <c r="K420" s="170" t="s">
        <v>345</v>
      </c>
      <c r="L420" s="170" t="s">
        <v>113</v>
      </c>
      <c r="M420" s="75"/>
      <c r="N420" s="75"/>
      <c r="O420" s="75"/>
    </row>
    <row r="421" spans="1:15" ht="15.6">
      <c r="A421" s="453">
        <v>46092</v>
      </c>
      <c r="B421" s="170" t="s">
        <v>803</v>
      </c>
      <c r="C421" s="242" t="s">
        <v>463</v>
      </c>
      <c r="D421" s="242" t="s">
        <v>98</v>
      </c>
      <c r="E421" s="460">
        <v>6180</v>
      </c>
      <c r="F421" s="454">
        <f t="shared" si="7"/>
        <v>11.542556171905643</v>
      </c>
      <c r="G421" s="239">
        <v>535.41</v>
      </c>
      <c r="H421" s="242" t="s">
        <v>124</v>
      </c>
      <c r="I421" s="170" t="s">
        <v>841</v>
      </c>
      <c r="J421" s="170" t="s">
        <v>96</v>
      </c>
      <c r="K421" s="170" t="s">
        <v>345</v>
      </c>
      <c r="L421" s="170" t="s">
        <v>113</v>
      </c>
      <c r="M421" s="75"/>
      <c r="N421" s="75"/>
      <c r="O421" s="75"/>
    </row>
    <row r="422" spans="1:15" ht="15.6">
      <c r="A422" s="457">
        <v>46092</v>
      </c>
      <c r="B422" s="242" t="s">
        <v>804</v>
      </c>
      <c r="C422" s="170" t="s">
        <v>337</v>
      </c>
      <c r="D422" s="242" t="s">
        <v>97</v>
      </c>
      <c r="E422" s="242">
        <v>500</v>
      </c>
      <c r="F422" s="454">
        <f t="shared" si="7"/>
        <v>0.93386376795353099</v>
      </c>
      <c r="G422" s="239">
        <v>535.41</v>
      </c>
      <c r="H422" s="242" t="s">
        <v>124</v>
      </c>
      <c r="I422" s="242" t="s">
        <v>836</v>
      </c>
      <c r="J422" s="170" t="s">
        <v>96</v>
      </c>
      <c r="K422" s="170" t="s">
        <v>345</v>
      </c>
      <c r="L422" s="170" t="s">
        <v>113</v>
      </c>
      <c r="M422" s="75"/>
      <c r="N422" s="75"/>
      <c r="O422" s="75"/>
    </row>
    <row r="423" spans="1:15" ht="15.6">
      <c r="A423" s="457">
        <v>46092</v>
      </c>
      <c r="B423" s="242" t="s">
        <v>466</v>
      </c>
      <c r="C423" s="170" t="s">
        <v>337</v>
      </c>
      <c r="D423" s="242" t="s">
        <v>97</v>
      </c>
      <c r="E423" s="242">
        <v>500</v>
      </c>
      <c r="F423" s="454">
        <f t="shared" si="7"/>
        <v>0.93386376795353099</v>
      </c>
      <c r="G423" s="239">
        <v>535.41</v>
      </c>
      <c r="H423" s="242" t="s">
        <v>124</v>
      </c>
      <c r="I423" s="242" t="s">
        <v>836</v>
      </c>
      <c r="J423" s="170" t="s">
        <v>96</v>
      </c>
      <c r="K423" s="170" t="s">
        <v>345</v>
      </c>
      <c r="L423" s="170" t="s">
        <v>113</v>
      </c>
      <c r="M423" s="75"/>
      <c r="N423" s="75"/>
      <c r="O423" s="75"/>
    </row>
    <row r="424" spans="1:15" ht="15.6">
      <c r="A424" s="457">
        <v>46093</v>
      </c>
      <c r="B424" s="242" t="s">
        <v>186</v>
      </c>
      <c r="C424" s="170" t="s">
        <v>337</v>
      </c>
      <c r="D424" s="458" t="s">
        <v>99</v>
      </c>
      <c r="E424" s="242">
        <v>1000</v>
      </c>
      <c r="F424" s="454">
        <f t="shared" si="7"/>
        <v>1.8677282335885521</v>
      </c>
      <c r="G424" s="239">
        <v>535.40980000000002</v>
      </c>
      <c r="H424" s="459" t="s">
        <v>111</v>
      </c>
      <c r="I424" s="170" t="s">
        <v>380</v>
      </c>
      <c r="J424" s="170" t="s">
        <v>96</v>
      </c>
      <c r="K424" s="170" t="s">
        <v>345</v>
      </c>
      <c r="L424" s="170" t="s">
        <v>113</v>
      </c>
      <c r="M424" s="364"/>
      <c r="N424" s="364"/>
      <c r="O424" s="75"/>
    </row>
    <row r="425" spans="1:15" ht="15.6">
      <c r="A425" s="457">
        <v>46093</v>
      </c>
      <c r="B425" s="242" t="s">
        <v>366</v>
      </c>
      <c r="C425" s="170" t="s">
        <v>337</v>
      </c>
      <c r="D425" s="458" t="s">
        <v>99</v>
      </c>
      <c r="E425" s="242">
        <v>1000</v>
      </c>
      <c r="F425" s="454">
        <f t="shared" si="7"/>
        <v>1.8677282335885521</v>
      </c>
      <c r="G425" s="239">
        <v>535.40980000000002</v>
      </c>
      <c r="H425" s="459" t="s">
        <v>111</v>
      </c>
      <c r="I425" s="170" t="s">
        <v>380</v>
      </c>
      <c r="J425" s="170" t="s">
        <v>96</v>
      </c>
      <c r="K425" s="170" t="s">
        <v>345</v>
      </c>
      <c r="L425" s="170" t="s">
        <v>113</v>
      </c>
      <c r="M425" s="364"/>
      <c r="N425" s="364"/>
      <c r="O425" s="75"/>
    </row>
    <row r="426" spans="1:15" ht="15.6">
      <c r="A426" s="457">
        <v>46093</v>
      </c>
      <c r="B426" s="242" t="s">
        <v>367</v>
      </c>
      <c r="C426" s="170" t="s">
        <v>337</v>
      </c>
      <c r="D426" s="458" t="s">
        <v>99</v>
      </c>
      <c r="E426" s="242">
        <v>1000</v>
      </c>
      <c r="F426" s="454">
        <f t="shared" si="7"/>
        <v>1.8677282335885521</v>
      </c>
      <c r="G426" s="239">
        <v>535.40980000000002</v>
      </c>
      <c r="H426" s="459" t="s">
        <v>111</v>
      </c>
      <c r="I426" s="170" t="s">
        <v>380</v>
      </c>
      <c r="J426" s="170" t="s">
        <v>96</v>
      </c>
      <c r="K426" s="170" t="s">
        <v>345</v>
      </c>
      <c r="L426" s="170" t="s">
        <v>113</v>
      </c>
      <c r="M426" s="364"/>
      <c r="N426" s="364"/>
      <c r="O426" s="75"/>
    </row>
    <row r="427" spans="1:15" ht="15.6">
      <c r="A427" s="457">
        <v>46093</v>
      </c>
      <c r="B427" s="242" t="s">
        <v>187</v>
      </c>
      <c r="C427" s="170" t="s">
        <v>337</v>
      </c>
      <c r="D427" s="458" t="s">
        <v>99</v>
      </c>
      <c r="E427" s="242">
        <v>1000</v>
      </c>
      <c r="F427" s="454">
        <f t="shared" si="7"/>
        <v>1.8677282335885521</v>
      </c>
      <c r="G427" s="239">
        <v>535.40980000000002</v>
      </c>
      <c r="H427" s="459" t="s">
        <v>111</v>
      </c>
      <c r="I427" s="170" t="s">
        <v>380</v>
      </c>
      <c r="J427" s="170" t="s">
        <v>96</v>
      </c>
      <c r="K427" s="170" t="s">
        <v>345</v>
      </c>
      <c r="L427" s="170" t="s">
        <v>113</v>
      </c>
      <c r="M427" s="364"/>
      <c r="N427" s="364"/>
      <c r="O427" s="75"/>
    </row>
    <row r="428" spans="1:15" ht="15.6">
      <c r="A428" s="467">
        <v>46093</v>
      </c>
      <c r="B428" s="242" t="s">
        <v>441</v>
      </c>
      <c r="C428" s="170" t="s">
        <v>337</v>
      </c>
      <c r="D428" s="242" t="s">
        <v>98</v>
      </c>
      <c r="E428" s="298">
        <v>1000</v>
      </c>
      <c r="F428" s="454">
        <f t="shared" si="7"/>
        <v>1.867727535907062</v>
      </c>
      <c r="G428" s="239">
        <v>535.41</v>
      </c>
      <c r="H428" s="242" t="s">
        <v>168</v>
      </c>
      <c r="I428" s="242" t="s">
        <v>510</v>
      </c>
      <c r="J428" s="170" t="s">
        <v>96</v>
      </c>
      <c r="K428" s="170" t="s">
        <v>345</v>
      </c>
      <c r="L428" s="170" t="s">
        <v>113</v>
      </c>
      <c r="M428" s="75"/>
      <c r="N428" s="75"/>
      <c r="O428" s="75"/>
    </row>
    <row r="429" spans="1:15" ht="15.6">
      <c r="A429" s="467">
        <v>46093</v>
      </c>
      <c r="B429" s="242" t="s">
        <v>327</v>
      </c>
      <c r="C429" s="170" t="s">
        <v>337</v>
      </c>
      <c r="D429" s="242" t="s">
        <v>98</v>
      </c>
      <c r="E429" s="298">
        <v>1000</v>
      </c>
      <c r="F429" s="454">
        <f t="shared" si="7"/>
        <v>1.867727535907062</v>
      </c>
      <c r="G429" s="239">
        <v>535.41</v>
      </c>
      <c r="H429" s="242" t="s">
        <v>168</v>
      </c>
      <c r="I429" s="242" t="s">
        <v>510</v>
      </c>
      <c r="J429" s="170" t="s">
        <v>96</v>
      </c>
      <c r="K429" s="170" t="s">
        <v>345</v>
      </c>
      <c r="L429" s="170" t="s">
        <v>113</v>
      </c>
      <c r="M429" s="75"/>
      <c r="N429" s="75"/>
      <c r="O429" s="75"/>
    </row>
    <row r="430" spans="1:15" ht="15.6">
      <c r="A430" s="467">
        <v>46093</v>
      </c>
      <c r="B430" s="242" t="s">
        <v>454</v>
      </c>
      <c r="C430" s="170" t="s">
        <v>337</v>
      </c>
      <c r="D430" s="242" t="s">
        <v>98</v>
      </c>
      <c r="E430" s="298">
        <v>1000</v>
      </c>
      <c r="F430" s="454">
        <f t="shared" si="7"/>
        <v>1.867727535907062</v>
      </c>
      <c r="G430" s="239">
        <v>535.41</v>
      </c>
      <c r="H430" s="242" t="s">
        <v>168</v>
      </c>
      <c r="I430" s="242" t="s">
        <v>510</v>
      </c>
      <c r="J430" s="170" t="s">
        <v>96</v>
      </c>
      <c r="K430" s="170" t="s">
        <v>345</v>
      </c>
      <c r="L430" s="170" t="s">
        <v>113</v>
      </c>
      <c r="M430" s="75"/>
      <c r="N430" s="75"/>
      <c r="O430" s="75"/>
    </row>
    <row r="431" spans="1:15" ht="15.6">
      <c r="A431" s="467">
        <v>46093</v>
      </c>
      <c r="B431" s="242" t="s">
        <v>197</v>
      </c>
      <c r="C431" s="170" t="s">
        <v>337</v>
      </c>
      <c r="D431" s="242" t="s">
        <v>98</v>
      </c>
      <c r="E431" s="298">
        <v>1000</v>
      </c>
      <c r="F431" s="454">
        <f t="shared" si="7"/>
        <v>1.867727535907062</v>
      </c>
      <c r="G431" s="239">
        <v>535.41</v>
      </c>
      <c r="H431" s="242" t="s">
        <v>168</v>
      </c>
      <c r="I431" s="242" t="s">
        <v>510</v>
      </c>
      <c r="J431" s="170" t="s">
        <v>96</v>
      </c>
      <c r="K431" s="170" t="s">
        <v>345</v>
      </c>
      <c r="L431" s="170" t="s">
        <v>113</v>
      </c>
      <c r="M431" s="75"/>
      <c r="N431" s="75"/>
      <c r="O431" s="75"/>
    </row>
    <row r="432" spans="1:15" ht="15.6">
      <c r="A432" s="428">
        <v>46093</v>
      </c>
      <c r="B432" s="429" t="s">
        <v>1033</v>
      </c>
      <c r="C432" s="170" t="s">
        <v>337</v>
      </c>
      <c r="D432" s="429" t="s">
        <v>259</v>
      </c>
      <c r="E432" s="429">
        <v>1000</v>
      </c>
      <c r="F432" s="454">
        <f t="shared" si="7"/>
        <v>1.867727535907062</v>
      </c>
      <c r="G432" s="239">
        <v>535.41</v>
      </c>
      <c r="H432" s="429" t="s">
        <v>123</v>
      </c>
      <c r="I432" s="429" t="s">
        <v>550</v>
      </c>
      <c r="J432" s="170" t="s">
        <v>96</v>
      </c>
      <c r="K432" s="170" t="s">
        <v>345</v>
      </c>
      <c r="L432" s="170" t="s">
        <v>113</v>
      </c>
      <c r="M432" s="75"/>
      <c r="N432" s="75"/>
      <c r="O432" s="75"/>
    </row>
    <row r="433" spans="1:15" ht="15.6">
      <c r="A433" s="428">
        <v>46093</v>
      </c>
      <c r="B433" s="429" t="s">
        <v>1033</v>
      </c>
      <c r="C433" s="170" t="s">
        <v>337</v>
      </c>
      <c r="D433" s="429" t="s">
        <v>259</v>
      </c>
      <c r="E433" s="429">
        <v>1500</v>
      </c>
      <c r="F433" s="454">
        <f t="shared" si="7"/>
        <v>2.8015913038605929</v>
      </c>
      <c r="G433" s="239">
        <v>535.41</v>
      </c>
      <c r="H433" s="429" t="s">
        <v>123</v>
      </c>
      <c r="I433" s="429" t="s">
        <v>550</v>
      </c>
      <c r="J433" s="170" t="s">
        <v>96</v>
      </c>
      <c r="K433" s="170" t="s">
        <v>345</v>
      </c>
      <c r="L433" s="170" t="s">
        <v>113</v>
      </c>
      <c r="M433" s="75"/>
      <c r="N433" s="75"/>
      <c r="O433" s="75"/>
    </row>
    <row r="434" spans="1:15" ht="15.6">
      <c r="A434" s="428">
        <v>46093</v>
      </c>
      <c r="B434" s="429" t="s">
        <v>1033</v>
      </c>
      <c r="C434" s="170" t="s">
        <v>337</v>
      </c>
      <c r="D434" s="429" t="s">
        <v>259</v>
      </c>
      <c r="E434" s="429">
        <v>1000</v>
      </c>
      <c r="F434" s="454">
        <f t="shared" si="7"/>
        <v>1.867727535907062</v>
      </c>
      <c r="G434" s="239">
        <v>535.41</v>
      </c>
      <c r="H434" s="429" t="s">
        <v>123</v>
      </c>
      <c r="I434" s="429" t="s">
        <v>550</v>
      </c>
      <c r="J434" s="170" t="s">
        <v>96</v>
      </c>
      <c r="K434" s="170" t="s">
        <v>345</v>
      </c>
      <c r="L434" s="170" t="s">
        <v>113</v>
      </c>
      <c r="M434" s="75"/>
      <c r="N434" s="75"/>
      <c r="O434" s="75"/>
    </row>
    <row r="435" spans="1:15" ht="15.6">
      <c r="A435" s="428">
        <v>46093</v>
      </c>
      <c r="B435" s="429" t="s">
        <v>1033</v>
      </c>
      <c r="C435" s="170" t="s">
        <v>337</v>
      </c>
      <c r="D435" s="429" t="s">
        <v>259</v>
      </c>
      <c r="E435" s="429">
        <v>1000</v>
      </c>
      <c r="F435" s="454">
        <f t="shared" si="7"/>
        <v>1.867727535907062</v>
      </c>
      <c r="G435" s="239">
        <v>535.41</v>
      </c>
      <c r="H435" s="429" t="s">
        <v>123</v>
      </c>
      <c r="I435" s="429" t="s">
        <v>550</v>
      </c>
      <c r="J435" s="170" t="s">
        <v>96</v>
      </c>
      <c r="K435" s="170" t="s">
        <v>345</v>
      </c>
      <c r="L435" s="170" t="s">
        <v>113</v>
      </c>
      <c r="M435" s="75"/>
      <c r="N435" s="75"/>
      <c r="O435" s="75"/>
    </row>
    <row r="436" spans="1:15" ht="15.6">
      <c r="A436" s="428">
        <v>46093</v>
      </c>
      <c r="B436" s="429" t="s">
        <v>1033</v>
      </c>
      <c r="C436" s="170" t="s">
        <v>337</v>
      </c>
      <c r="D436" s="429" t="s">
        <v>259</v>
      </c>
      <c r="E436" s="429">
        <v>1000</v>
      </c>
      <c r="F436" s="454">
        <f t="shared" si="7"/>
        <v>1.867727535907062</v>
      </c>
      <c r="G436" s="239">
        <v>535.41</v>
      </c>
      <c r="H436" s="429" t="s">
        <v>123</v>
      </c>
      <c r="I436" s="429" t="s">
        <v>550</v>
      </c>
      <c r="J436" s="170" t="s">
        <v>96</v>
      </c>
      <c r="K436" s="170" t="s">
        <v>345</v>
      </c>
      <c r="L436" s="170" t="s">
        <v>113</v>
      </c>
      <c r="M436" s="75"/>
      <c r="N436" s="75"/>
      <c r="O436" s="75"/>
    </row>
    <row r="437" spans="1:15" ht="15.6">
      <c r="A437" s="428">
        <v>46093</v>
      </c>
      <c r="B437" s="429" t="s">
        <v>545</v>
      </c>
      <c r="C437" s="429" t="s">
        <v>541</v>
      </c>
      <c r="D437" s="429" t="s">
        <v>259</v>
      </c>
      <c r="E437" s="429">
        <v>2000</v>
      </c>
      <c r="F437" s="454">
        <f t="shared" si="7"/>
        <v>3.735455071814124</v>
      </c>
      <c r="G437" s="239">
        <v>535.41</v>
      </c>
      <c r="H437" s="429" t="s">
        <v>123</v>
      </c>
      <c r="I437" s="429" t="s">
        <v>551</v>
      </c>
      <c r="J437" s="170" t="s">
        <v>96</v>
      </c>
      <c r="K437" s="170" t="s">
        <v>345</v>
      </c>
      <c r="L437" s="170" t="s">
        <v>113</v>
      </c>
      <c r="M437" s="75"/>
      <c r="N437" s="75"/>
      <c r="O437" s="75"/>
    </row>
    <row r="438" spans="1:15" ht="15.6">
      <c r="A438" s="457">
        <v>46093</v>
      </c>
      <c r="B438" s="170" t="s">
        <v>1048</v>
      </c>
      <c r="C438" s="242" t="s">
        <v>406</v>
      </c>
      <c r="D438" s="242" t="s">
        <v>259</v>
      </c>
      <c r="E438" s="242">
        <v>10000</v>
      </c>
      <c r="F438" s="454">
        <f t="shared" si="7"/>
        <v>18.67727535907062</v>
      </c>
      <c r="G438" s="239">
        <v>535.41</v>
      </c>
      <c r="H438" s="242" t="s">
        <v>122</v>
      </c>
      <c r="I438" s="242" t="s">
        <v>608</v>
      </c>
      <c r="J438" s="170" t="s">
        <v>96</v>
      </c>
      <c r="K438" s="170" t="s">
        <v>345</v>
      </c>
      <c r="L438" s="170" t="s">
        <v>113</v>
      </c>
      <c r="M438" s="75"/>
      <c r="N438" s="75"/>
      <c r="O438" s="75"/>
    </row>
    <row r="439" spans="1:15" ht="15.6">
      <c r="A439" s="457">
        <v>46093</v>
      </c>
      <c r="B439" s="242" t="s">
        <v>1025</v>
      </c>
      <c r="C439" s="170" t="s">
        <v>337</v>
      </c>
      <c r="D439" s="242" t="s">
        <v>259</v>
      </c>
      <c r="E439" s="242">
        <v>500</v>
      </c>
      <c r="F439" s="454">
        <f t="shared" si="7"/>
        <v>0.93386376795353099</v>
      </c>
      <c r="G439" s="239">
        <v>535.41</v>
      </c>
      <c r="H439" s="242" t="s">
        <v>122</v>
      </c>
      <c r="I439" s="242" t="s">
        <v>594</v>
      </c>
      <c r="J439" s="170" t="s">
        <v>96</v>
      </c>
      <c r="K439" s="170" t="s">
        <v>345</v>
      </c>
      <c r="L439" s="170" t="s">
        <v>113</v>
      </c>
      <c r="M439" s="75"/>
      <c r="N439" s="75"/>
      <c r="O439" s="75"/>
    </row>
    <row r="440" spans="1:15" ht="15.6">
      <c r="A440" s="457">
        <v>46093</v>
      </c>
      <c r="B440" s="242" t="s">
        <v>1035</v>
      </c>
      <c r="C440" s="242" t="s">
        <v>402</v>
      </c>
      <c r="D440" s="242" t="s">
        <v>259</v>
      </c>
      <c r="E440" s="242">
        <v>2000</v>
      </c>
      <c r="F440" s="454">
        <f t="shared" si="7"/>
        <v>3.735455071814124</v>
      </c>
      <c r="G440" s="239">
        <v>535.41</v>
      </c>
      <c r="H440" s="242" t="s">
        <v>122</v>
      </c>
      <c r="I440" s="242" t="s">
        <v>609</v>
      </c>
      <c r="J440" s="170" t="s">
        <v>96</v>
      </c>
      <c r="K440" s="170" t="s">
        <v>345</v>
      </c>
      <c r="L440" s="170" t="s">
        <v>113</v>
      </c>
      <c r="M440" s="75"/>
      <c r="N440" s="75"/>
      <c r="O440" s="75"/>
    </row>
    <row r="441" spans="1:15" ht="15.6">
      <c r="A441" s="457">
        <v>46093</v>
      </c>
      <c r="B441" s="242" t="s">
        <v>1049</v>
      </c>
      <c r="C441" s="170" t="s">
        <v>337</v>
      </c>
      <c r="D441" s="242" t="s">
        <v>259</v>
      </c>
      <c r="E441" s="242">
        <v>1000</v>
      </c>
      <c r="F441" s="454">
        <f t="shared" si="7"/>
        <v>1.867727535907062</v>
      </c>
      <c r="G441" s="239">
        <v>535.41</v>
      </c>
      <c r="H441" s="242" t="s">
        <v>122</v>
      </c>
      <c r="I441" s="242" t="s">
        <v>594</v>
      </c>
      <c r="J441" s="170" t="s">
        <v>96</v>
      </c>
      <c r="K441" s="170" t="s">
        <v>345</v>
      </c>
      <c r="L441" s="170" t="s">
        <v>113</v>
      </c>
      <c r="M441" s="75"/>
      <c r="N441" s="75"/>
      <c r="O441" s="75"/>
    </row>
    <row r="442" spans="1:15" ht="15.6">
      <c r="A442" s="457">
        <v>46093</v>
      </c>
      <c r="B442" s="242" t="s">
        <v>1027</v>
      </c>
      <c r="C442" s="170" t="s">
        <v>337</v>
      </c>
      <c r="D442" s="242" t="s">
        <v>259</v>
      </c>
      <c r="E442" s="242">
        <v>500</v>
      </c>
      <c r="F442" s="454">
        <f t="shared" si="7"/>
        <v>0.93386376795353099</v>
      </c>
      <c r="G442" s="239">
        <v>535.41</v>
      </c>
      <c r="H442" s="242" t="s">
        <v>122</v>
      </c>
      <c r="I442" s="242" t="s">
        <v>594</v>
      </c>
      <c r="J442" s="170" t="s">
        <v>96</v>
      </c>
      <c r="K442" s="170" t="s">
        <v>345</v>
      </c>
      <c r="L442" s="170" t="s">
        <v>113</v>
      </c>
      <c r="M442" s="75"/>
      <c r="N442" s="75"/>
      <c r="O442" s="75"/>
    </row>
    <row r="443" spans="1:15" ht="15.6">
      <c r="A443" s="457">
        <v>46093</v>
      </c>
      <c r="B443" s="242" t="s">
        <v>1027</v>
      </c>
      <c r="C443" s="170" t="s">
        <v>337</v>
      </c>
      <c r="D443" s="242" t="s">
        <v>259</v>
      </c>
      <c r="E443" s="242">
        <v>500</v>
      </c>
      <c r="F443" s="454">
        <f t="shared" si="7"/>
        <v>0.93386376795353099</v>
      </c>
      <c r="G443" s="239">
        <v>535.41</v>
      </c>
      <c r="H443" s="242" t="s">
        <v>122</v>
      </c>
      <c r="I443" s="242" t="s">
        <v>594</v>
      </c>
      <c r="J443" s="170" t="s">
        <v>96</v>
      </c>
      <c r="K443" s="170" t="s">
        <v>345</v>
      </c>
      <c r="L443" s="170" t="s">
        <v>113</v>
      </c>
      <c r="M443" s="75"/>
      <c r="N443" s="75"/>
      <c r="O443" s="75"/>
    </row>
    <row r="444" spans="1:15" ht="15.6">
      <c r="A444" s="457">
        <v>46093</v>
      </c>
      <c r="B444" s="242" t="s">
        <v>1027</v>
      </c>
      <c r="C444" s="170" t="s">
        <v>337</v>
      </c>
      <c r="D444" s="242" t="s">
        <v>259</v>
      </c>
      <c r="E444" s="242">
        <v>500</v>
      </c>
      <c r="F444" s="454">
        <f t="shared" si="7"/>
        <v>0.93386376795353099</v>
      </c>
      <c r="G444" s="239">
        <v>535.41</v>
      </c>
      <c r="H444" s="242" t="s">
        <v>122</v>
      </c>
      <c r="I444" s="242" t="s">
        <v>594</v>
      </c>
      <c r="J444" s="170" t="s">
        <v>96</v>
      </c>
      <c r="K444" s="170" t="s">
        <v>345</v>
      </c>
      <c r="L444" s="170" t="s">
        <v>113</v>
      </c>
      <c r="M444" s="75"/>
      <c r="N444" s="75"/>
      <c r="O444" s="75"/>
    </row>
    <row r="445" spans="1:15" ht="15.6">
      <c r="A445" s="457">
        <v>46093</v>
      </c>
      <c r="B445" s="242" t="s">
        <v>1027</v>
      </c>
      <c r="C445" s="170" t="s">
        <v>337</v>
      </c>
      <c r="D445" s="242" t="s">
        <v>259</v>
      </c>
      <c r="E445" s="242">
        <v>500</v>
      </c>
      <c r="F445" s="454">
        <f t="shared" si="7"/>
        <v>0.93386376795353099</v>
      </c>
      <c r="G445" s="239">
        <v>535.41</v>
      </c>
      <c r="H445" s="242" t="s">
        <v>122</v>
      </c>
      <c r="I445" s="242" t="s">
        <v>594</v>
      </c>
      <c r="J445" s="170" t="s">
        <v>96</v>
      </c>
      <c r="K445" s="170" t="s">
        <v>345</v>
      </c>
      <c r="L445" s="170" t="s">
        <v>113</v>
      </c>
      <c r="M445" s="75"/>
      <c r="N445" s="75"/>
      <c r="O445" s="75"/>
    </row>
    <row r="446" spans="1:15" ht="15.6">
      <c r="A446" s="457">
        <v>46093</v>
      </c>
      <c r="B446" s="242" t="s">
        <v>1031</v>
      </c>
      <c r="C446" s="170" t="s">
        <v>337</v>
      </c>
      <c r="D446" s="242" t="s">
        <v>259</v>
      </c>
      <c r="E446" s="242">
        <v>500</v>
      </c>
      <c r="F446" s="454">
        <f t="shared" si="7"/>
        <v>0.93386376795353099</v>
      </c>
      <c r="G446" s="239">
        <v>535.41</v>
      </c>
      <c r="H446" s="242" t="s">
        <v>122</v>
      </c>
      <c r="I446" s="242" t="s">
        <v>594</v>
      </c>
      <c r="J446" s="170" t="s">
        <v>96</v>
      </c>
      <c r="K446" s="170" t="s">
        <v>345</v>
      </c>
      <c r="L446" s="170" t="s">
        <v>113</v>
      </c>
      <c r="M446" s="75"/>
      <c r="N446" s="75"/>
      <c r="O446" s="75"/>
    </row>
    <row r="447" spans="1:15" ht="15.6">
      <c r="A447" s="457">
        <v>46093</v>
      </c>
      <c r="B447" s="242" t="s">
        <v>1031</v>
      </c>
      <c r="C447" s="170" t="s">
        <v>337</v>
      </c>
      <c r="D447" s="242" t="s">
        <v>259</v>
      </c>
      <c r="E447" s="242">
        <v>500</v>
      </c>
      <c r="F447" s="454">
        <f t="shared" si="7"/>
        <v>0.93386376795353099</v>
      </c>
      <c r="G447" s="239">
        <v>535.41</v>
      </c>
      <c r="H447" s="242" t="s">
        <v>122</v>
      </c>
      <c r="I447" s="242" t="s">
        <v>594</v>
      </c>
      <c r="J447" s="170" t="s">
        <v>96</v>
      </c>
      <c r="K447" s="170" t="s">
        <v>345</v>
      </c>
      <c r="L447" s="170" t="s">
        <v>113</v>
      </c>
      <c r="M447" s="75"/>
      <c r="N447" s="75"/>
      <c r="O447" s="75"/>
    </row>
    <row r="448" spans="1:15" ht="15.6">
      <c r="A448" s="457">
        <v>46093</v>
      </c>
      <c r="B448" s="242" t="s">
        <v>1031</v>
      </c>
      <c r="C448" s="170" t="s">
        <v>337</v>
      </c>
      <c r="D448" s="242" t="s">
        <v>259</v>
      </c>
      <c r="E448" s="242">
        <v>500</v>
      </c>
      <c r="F448" s="454">
        <f t="shared" si="7"/>
        <v>0.93386376795353099</v>
      </c>
      <c r="G448" s="239">
        <v>535.41</v>
      </c>
      <c r="H448" s="242" t="s">
        <v>122</v>
      </c>
      <c r="I448" s="242" t="s">
        <v>594</v>
      </c>
      <c r="J448" s="170" t="s">
        <v>96</v>
      </c>
      <c r="K448" s="170" t="s">
        <v>345</v>
      </c>
      <c r="L448" s="170" t="s">
        <v>113</v>
      </c>
      <c r="M448" s="75"/>
      <c r="N448" s="75"/>
      <c r="O448" s="75"/>
    </row>
    <row r="449" spans="1:15" ht="15.6">
      <c r="A449" s="457">
        <v>46093</v>
      </c>
      <c r="B449" s="242" t="s">
        <v>1050</v>
      </c>
      <c r="C449" s="242" t="s">
        <v>587</v>
      </c>
      <c r="D449" s="242" t="s">
        <v>259</v>
      </c>
      <c r="E449" s="242">
        <v>2000</v>
      </c>
      <c r="F449" s="454">
        <f t="shared" si="7"/>
        <v>3.735455071814124</v>
      </c>
      <c r="G449" s="239">
        <v>535.41</v>
      </c>
      <c r="H449" s="242" t="s">
        <v>122</v>
      </c>
      <c r="I449" s="242" t="s">
        <v>596</v>
      </c>
      <c r="J449" s="170" t="s">
        <v>96</v>
      </c>
      <c r="K449" s="170" t="s">
        <v>345</v>
      </c>
      <c r="L449" s="170" t="s">
        <v>113</v>
      </c>
      <c r="M449" s="75"/>
      <c r="N449" s="75"/>
      <c r="O449" s="75"/>
    </row>
    <row r="450" spans="1:15" ht="15.6">
      <c r="A450" s="457">
        <v>46093</v>
      </c>
      <c r="B450" s="242" t="s">
        <v>1027</v>
      </c>
      <c r="C450" s="170" t="s">
        <v>337</v>
      </c>
      <c r="D450" s="242" t="s">
        <v>259</v>
      </c>
      <c r="E450" s="242">
        <v>500</v>
      </c>
      <c r="F450" s="454">
        <f t="shared" si="7"/>
        <v>0.93386376795353099</v>
      </c>
      <c r="G450" s="239">
        <v>535.41</v>
      </c>
      <c r="H450" s="242" t="s">
        <v>131</v>
      </c>
      <c r="I450" s="242" t="s">
        <v>653</v>
      </c>
      <c r="J450" s="170" t="s">
        <v>96</v>
      </c>
      <c r="K450" s="170" t="s">
        <v>345</v>
      </c>
      <c r="L450" s="170" t="s">
        <v>113</v>
      </c>
      <c r="M450" s="75"/>
      <c r="N450" s="75"/>
      <c r="O450" s="75"/>
    </row>
    <row r="451" spans="1:15" ht="15.6">
      <c r="A451" s="457">
        <v>46093</v>
      </c>
      <c r="B451" s="242" t="s">
        <v>1027</v>
      </c>
      <c r="C451" s="170" t="s">
        <v>337</v>
      </c>
      <c r="D451" s="242" t="s">
        <v>259</v>
      </c>
      <c r="E451" s="242">
        <v>400</v>
      </c>
      <c r="F451" s="454">
        <f t="shared" si="7"/>
        <v>0.74709101436282477</v>
      </c>
      <c r="G451" s="239">
        <v>535.41</v>
      </c>
      <c r="H451" s="242" t="s">
        <v>131</v>
      </c>
      <c r="I451" s="242" t="s">
        <v>653</v>
      </c>
      <c r="J451" s="170" t="s">
        <v>96</v>
      </c>
      <c r="K451" s="170" t="s">
        <v>345</v>
      </c>
      <c r="L451" s="170" t="s">
        <v>113</v>
      </c>
      <c r="M451" s="75"/>
      <c r="N451" s="75"/>
      <c r="O451" s="75"/>
    </row>
    <row r="452" spans="1:15" ht="15.6">
      <c r="A452" s="457">
        <v>46093</v>
      </c>
      <c r="B452" s="242" t="s">
        <v>540</v>
      </c>
      <c r="C452" s="242" t="s">
        <v>647</v>
      </c>
      <c r="D452" s="242" t="s">
        <v>259</v>
      </c>
      <c r="E452" s="242">
        <v>1650</v>
      </c>
      <c r="F452" s="454">
        <f t="shared" si="7"/>
        <v>3.0817504342466524</v>
      </c>
      <c r="G452" s="239">
        <v>535.41</v>
      </c>
      <c r="H452" s="242" t="s">
        <v>131</v>
      </c>
      <c r="I452" s="242" t="s">
        <v>658</v>
      </c>
      <c r="J452" s="170" t="s">
        <v>96</v>
      </c>
      <c r="K452" s="170" t="s">
        <v>345</v>
      </c>
      <c r="L452" s="170" t="s">
        <v>113</v>
      </c>
      <c r="M452" s="75"/>
      <c r="N452" s="75"/>
      <c r="O452" s="75"/>
    </row>
    <row r="453" spans="1:15" ht="15.6">
      <c r="A453" s="457">
        <v>46093</v>
      </c>
      <c r="B453" s="242" t="s">
        <v>1031</v>
      </c>
      <c r="C453" s="170" t="s">
        <v>337</v>
      </c>
      <c r="D453" s="242" t="s">
        <v>259</v>
      </c>
      <c r="E453" s="242">
        <v>500</v>
      </c>
      <c r="F453" s="454">
        <f t="shared" si="7"/>
        <v>0.93386376795353099</v>
      </c>
      <c r="G453" s="239">
        <v>535.41</v>
      </c>
      <c r="H453" s="242" t="s">
        <v>131</v>
      </c>
      <c r="I453" s="242" t="s">
        <v>653</v>
      </c>
      <c r="J453" s="170" t="s">
        <v>96</v>
      </c>
      <c r="K453" s="170" t="s">
        <v>345</v>
      </c>
      <c r="L453" s="170" t="s">
        <v>113</v>
      </c>
      <c r="M453" s="75"/>
      <c r="N453" s="75"/>
      <c r="O453" s="75"/>
    </row>
    <row r="454" spans="1:15" ht="15.6">
      <c r="A454" s="457">
        <v>46093</v>
      </c>
      <c r="B454" s="242" t="s">
        <v>1031</v>
      </c>
      <c r="C454" s="170" t="s">
        <v>337</v>
      </c>
      <c r="D454" s="242" t="s">
        <v>259</v>
      </c>
      <c r="E454" s="242">
        <v>400</v>
      </c>
      <c r="F454" s="454">
        <f t="shared" si="7"/>
        <v>0.74709101436282477</v>
      </c>
      <c r="G454" s="239">
        <v>535.41</v>
      </c>
      <c r="H454" s="242" t="s">
        <v>131</v>
      </c>
      <c r="I454" s="242" t="s">
        <v>653</v>
      </c>
      <c r="J454" s="170" t="s">
        <v>96</v>
      </c>
      <c r="K454" s="170" t="s">
        <v>345</v>
      </c>
      <c r="L454" s="170" t="s">
        <v>113</v>
      </c>
      <c r="M454" s="75"/>
      <c r="N454" s="75"/>
      <c r="O454" s="75"/>
    </row>
    <row r="455" spans="1:15" ht="15.6">
      <c r="A455" s="457">
        <v>46093</v>
      </c>
      <c r="B455" s="242" t="s">
        <v>1031</v>
      </c>
      <c r="C455" s="170" t="s">
        <v>337</v>
      </c>
      <c r="D455" s="242" t="s">
        <v>259</v>
      </c>
      <c r="E455" s="242">
        <v>500</v>
      </c>
      <c r="F455" s="454">
        <f t="shared" si="7"/>
        <v>0.93386376795353099</v>
      </c>
      <c r="G455" s="239">
        <v>535.41</v>
      </c>
      <c r="H455" s="242" t="s">
        <v>131</v>
      </c>
      <c r="I455" s="242" t="s">
        <v>653</v>
      </c>
      <c r="J455" s="170" t="s">
        <v>96</v>
      </c>
      <c r="K455" s="170" t="s">
        <v>345</v>
      </c>
      <c r="L455" s="170" t="s">
        <v>113</v>
      </c>
      <c r="M455" s="75"/>
      <c r="N455" s="75"/>
      <c r="O455" s="75"/>
    </row>
    <row r="456" spans="1:15" ht="15.6">
      <c r="A456" s="453">
        <v>46093</v>
      </c>
      <c r="B456" s="170" t="s">
        <v>462</v>
      </c>
      <c r="C456" s="242" t="s">
        <v>463</v>
      </c>
      <c r="D456" s="242" t="s">
        <v>98</v>
      </c>
      <c r="E456" s="460">
        <v>3390</v>
      </c>
      <c r="F456" s="454">
        <f t="shared" si="7"/>
        <v>6.3315963467249405</v>
      </c>
      <c r="G456" s="239">
        <v>535.41</v>
      </c>
      <c r="H456" s="242" t="s">
        <v>124</v>
      </c>
      <c r="I456" s="170" t="s">
        <v>842</v>
      </c>
      <c r="J456" s="170" t="s">
        <v>96</v>
      </c>
      <c r="K456" s="170" t="s">
        <v>345</v>
      </c>
      <c r="L456" s="170" t="s">
        <v>113</v>
      </c>
      <c r="M456" s="75"/>
      <c r="N456" s="75"/>
      <c r="O456" s="75"/>
    </row>
    <row r="457" spans="1:15" ht="15.6">
      <c r="A457" s="453">
        <v>46093</v>
      </c>
      <c r="B457" s="170" t="s">
        <v>805</v>
      </c>
      <c r="C457" s="242" t="s">
        <v>120</v>
      </c>
      <c r="D457" s="242" t="s">
        <v>98</v>
      </c>
      <c r="E457" s="460">
        <v>24000</v>
      </c>
      <c r="F457" s="454">
        <f t="shared" si="7"/>
        <v>44.825460861769486</v>
      </c>
      <c r="G457" s="239">
        <v>535.41</v>
      </c>
      <c r="H457" s="242" t="s">
        <v>124</v>
      </c>
      <c r="I457" s="170" t="s">
        <v>843</v>
      </c>
      <c r="J457" s="170" t="s">
        <v>96</v>
      </c>
      <c r="K457" s="170" t="s">
        <v>345</v>
      </c>
      <c r="L457" s="170" t="s">
        <v>113</v>
      </c>
      <c r="M457" s="75"/>
      <c r="N457" s="75"/>
      <c r="O457" s="75"/>
    </row>
    <row r="458" spans="1:15" ht="15.6">
      <c r="A458" s="457">
        <v>46093</v>
      </c>
      <c r="B458" s="242" t="s">
        <v>806</v>
      </c>
      <c r="C458" s="170" t="s">
        <v>337</v>
      </c>
      <c r="D458" s="242" t="s">
        <v>97</v>
      </c>
      <c r="E458" s="242">
        <v>500</v>
      </c>
      <c r="F458" s="454">
        <f t="shared" si="7"/>
        <v>0.93386376795353099</v>
      </c>
      <c r="G458" s="239">
        <v>535.41</v>
      </c>
      <c r="H458" s="242" t="s">
        <v>124</v>
      </c>
      <c r="I458" s="242" t="s">
        <v>836</v>
      </c>
      <c r="J458" s="170" t="s">
        <v>96</v>
      </c>
      <c r="K458" s="170" t="s">
        <v>345</v>
      </c>
      <c r="L458" s="170" t="s">
        <v>113</v>
      </c>
      <c r="M458" s="75"/>
      <c r="N458" s="75"/>
      <c r="O458" s="75"/>
    </row>
    <row r="459" spans="1:15" ht="15.6">
      <c r="A459" s="457">
        <v>46093</v>
      </c>
      <c r="B459" s="242" t="s">
        <v>466</v>
      </c>
      <c r="C459" s="170" t="s">
        <v>337</v>
      </c>
      <c r="D459" s="242" t="s">
        <v>97</v>
      </c>
      <c r="E459" s="242">
        <v>500</v>
      </c>
      <c r="F459" s="454">
        <f t="shared" si="7"/>
        <v>0.93386376795353099</v>
      </c>
      <c r="G459" s="239">
        <v>535.41</v>
      </c>
      <c r="H459" s="242" t="s">
        <v>124</v>
      </c>
      <c r="I459" s="242" t="s">
        <v>836</v>
      </c>
      <c r="J459" s="170" t="s">
        <v>96</v>
      </c>
      <c r="K459" s="170" t="s">
        <v>345</v>
      </c>
      <c r="L459" s="170" t="s">
        <v>113</v>
      </c>
      <c r="M459" s="75"/>
      <c r="N459" s="75"/>
      <c r="O459" s="75"/>
    </row>
    <row r="460" spans="1:15" ht="15.6">
      <c r="A460" s="457">
        <v>46094</v>
      </c>
      <c r="B460" s="242" t="s">
        <v>362</v>
      </c>
      <c r="C460" s="170" t="s">
        <v>337</v>
      </c>
      <c r="D460" s="458" t="s">
        <v>99</v>
      </c>
      <c r="E460" s="242">
        <v>1000</v>
      </c>
      <c r="F460" s="454">
        <f t="shared" si="7"/>
        <v>1.8677282335885521</v>
      </c>
      <c r="G460" s="239">
        <v>535.40980000000002</v>
      </c>
      <c r="H460" s="459" t="s">
        <v>111</v>
      </c>
      <c r="I460" s="170" t="s">
        <v>380</v>
      </c>
      <c r="J460" s="170" t="s">
        <v>96</v>
      </c>
      <c r="K460" s="170" t="s">
        <v>345</v>
      </c>
      <c r="L460" s="170" t="s">
        <v>113</v>
      </c>
      <c r="M460" s="364"/>
      <c r="N460" s="364"/>
      <c r="O460" s="75"/>
    </row>
    <row r="461" spans="1:15" ht="15.6">
      <c r="A461" s="457">
        <v>46094</v>
      </c>
      <c r="B461" s="242" t="s">
        <v>368</v>
      </c>
      <c r="C461" s="170" t="s">
        <v>337</v>
      </c>
      <c r="D461" s="458" t="s">
        <v>99</v>
      </c>
      <c r="E461" s="242">
        <v>1000</v>
      </c>
      <c r="F461" s="454">
        <f t="shared" si="7"/>
        <v>1.8677282335885521</v>
      </c>
      <c r="G461" s="239">
        <v>535.40980000000002</v>
      </c>
      <c r="H461" s="459" t="s">
        <v>111</v>
      </c>
      <c r="I461" s="170" t="s">
        <v>380</v>
      </c>
      <c r="J461" s="170" t="s">
        <v>96</v>
      </c>
      <c r="K461" s="170" t="s">
        <v>345</v>
      </c>
      <c r="L461" s="170" t="s">
        <v>113</v>
      </c>
      <c r="M461" s="364"/>
      <c r="N461" s="364"/>
      <c r="O461" s="75"/>
    </row>
    <row r="462" spans="1:15" ht="15.6">
      <c r="A462" s="457">
        <v>46094</v>
      </c>
      <c r="B462" s="242" t="s">
        <v>187</v>
      </c>
      <c r="C462" s="170" t="s">
        <v>337</v>
      </c>
      <c r="D462" s="458" t="s">
        <v>99</v>
      </c>
      <c r="E462" s="242">
        <v>1000</v>
      </c>
      <c r="F462" s="454">
        <f t="shared" si="7"/>
        <v>1.8677282335885521</v>
      </c>
      <c r="G462" s="239">
        <v>535.40980000000002</v>
      </c>
      <c r="H462" s="459" t="s">
        <v>111</v>
      </c>
      <c r="I462" s="170" t="s">
        <v>380</v>
      </c>
      <c r="J462" s="170" t="s">
        <v>96</v>
      </c>
      <c r="K462" s="170" t="s">
        <v>345</v>
      </c>
      <c r="L462" s="170" t="s">
        <v>113</v>
      </c>
      <c r="M462" s="364"/>
      <c r="N462" s="364"/>
      <c r="O462" s="75"/>
    </row>
    <row r="463" spans="1:15" ht="15.6">
      <c r="A463" s="428">
        <v>46094</v>
      </c>
      <c r="B463" s="429" t="s">
        <v>1051</v>
      </c>
      <c r="C463" s="429" t="s">
        <v>542</v>
      </c>
      <c r="D463" s="429" t="s">
        <v>259</v>
      </c>
      <c r="E463" s="429">
        <v>30000</v>
      </c>
      <c r="F463" s="454">
        <f t="shared" si="7"/>
        <v>56.031826077211861</v>
      </c>
      <c r="G463" s="239">
        <v>535.41</v>
      </c>
      <c r="H463" s="429" t="s">
        <v>123</v>
      </c>
      <c r="I463" s="429" t="s">
        <v>557</v>
      </c>
      <c r="J463" s="170" t="s">
        <v>96</v>
      </c>
      <c r="K463" s="170" t="s">
        <v>345</v>
      </c>
      <c r="L463" s="170" t="s">
        <v>113</v>
      </c>
      <c r="M463" s="75"/>
      <c r="N463" s="75"/>
      <c r="O463" s="75"/>
    </row>
    <row r="464" spans="1:15" ht="15.6">
      <c r="A464" s="428">
        <v>46094</v>
      </c>
      <c r="B464" s="429" t="s">
        <v>1028</v>
      </c>
      <c r="C464" s="242" t="s">
        <v>402</v>
      </c>
      <c r="D464" s="429" t="s">
        <v>259</v>
      </c>
      <c r="E464" s="429">
        <v>3500</v>
      </c>
      <c r="F464" s="454">
        <f t="shared" si="7"/>
        <v>6.5370463756747172</v>
      </c>
      <c r="G464" s="239">
        <v>535.41</v>
      </c>
      <c r="H464" s="429" t="s">
        <v>123</v>
      </c>
      <c r="I464" s="429" t="s">
        <v>558</v>
      </c>
      <c r="J464" s="170" t="s">
        <v>96</v>
      </c>
      <c r="K464" s="170" t="s">
        <v>345</v>
      </c>
      <c r="L464" s="170" t="s">
        <v>113</v>
      </c>
      <c r="M464" s="75"/>
      <c r="N464" s="75"/>
      <c r="O464" s="75"/>
    </row>
    <row r="465" spans="1:15" ht="15.6">
      <c r="A465" s="428">
        <v>46094</v>
      </c>
      <c r="B465" s="429" t="s">
        <v>1033</v>
      </c>
      <c r="C465" s="170" t="s">
        <v>337</v>
      </c>
      <c r="D465" s="429" t="s">
        <v>259</v>
      </c>
      <c r="E465" s="429">
        <v>1000</v>
      </c>
      <c r="F465" s="454">
        <f t="shared" si="7"/>
        <v>1.867727535907062</v>
      </c>
      <c r="G465" s="239">
        <v>535.41</v>
      </c>
      <c r="H465" s="429" t="s">
        <v>123</v>
      </c>
      <c r="I465" s="429" t="s">
        <v>550</v>
      </c>
      <c r="J465" s="170" t="s">
        <v>96</v>
      </c>
      <c r="K465" s="170" t="s">
        <v>345</v>
      </c>
      <c r="L465" s="170" t="s">
        <v>113</v>
      </c>
      <c r="M465" s="75"/>
      <c r="N465" s="75"/>
      <c r="O465" s="75"/>
    </row>
    <row r="466" spans="1:15" ht="15.6">
      <c r="A466" s="428">
        <v>46094</v>
      </c>
      <c r="B466" s="429" t="s">
        <v>1052</v>
      </c>
      <c r="C466" s="170" t="s">
        <v>337</v>
      </c>
      <c r="D466" s="429" t="s">
        <v>259</v>
      </c>
      <c r="E466" s="429">
        <v>500</v>
      </c>
      <c r="F466" s="454">
        <f t="shared" si="7"/>
        <v>0.93386376795353099</v>
      </c>
      <c r="G466" s="239">
        <v>535.41</v>
      </c>
      <c r="H466" s="429" t="s">
        <v>123</v>
      </c>
      <c r="I466" s="429" t="s">
        <v>550</v>
      </c>
      <c r="J466" s="170" t="s">
        <v>96</v>
      </c>
      <c r="K466" s="170" t="s">
        <v>345</v>
      </c>
      <c r="L466" s="170" t="s">
        <v>113</v>
      </c>
      <c r="M466" s="75"/>
      <c r="N466" s="75"/>
      <c r="O466" s="75"/>
    </row>
    <row r="467" spans="1:15" ht="15.6">
      <c r="A467" s="428">
        <v>46094</v>
      </c>
      <c r="B467" s="429" t="s">
        <v>1053</v>
      </c>
      <c r="C467" s="170" t="s">
        <v>337</v>
      </c>
      <c r="D467" s="429" t="s">
        <v>259</v>
      </c>
      <c r="E467" s="429">
        <v>500</v>
      </c>
      <c r="F467" s="454">
        <f t="shared" si="7"/>
        <v>0.93386376795353099</v>
      </c>
      <c r="G467" s="239">
        <v>535.41</v>
      </c>
      <c r="H467" s="429" t="s">
        <v>123</v>
      </c>
      <c r="I467" s="429" t="s">
        <v>550</v>
      </c>
      <c r="J467" s="170" t="s">
        <v>96</v>
      </c>
      <c r="K467" s="170" t="s">
        <v>345</v>
      </c>
      <c r="L467" s="170" t="s">
        <v>113</v>
      </c>
      <c r="M467" s="75"/>
      <c r="N467" s="75"/>
      <c r="O467" s="75"/>
    </row>
    <row r="468" spans="1:15" ht="15.6">
      <c r="A468" s="428">
        <v>46094</v>
      </c>
      <c r="B468" s="429" t="s">
        <v>1052</v>
      </c>
      <c r="C468" s="170" t="s">
        <v>337</v>
      </c>
      <c r="D468" s="429" t="s">
        <v>259</v>
      </c>
      <c r="E468" s="429">
        <v>500</v>
      </c>
      <c r="F468" s="454">
        <f t="shared" si="7"/>
        <v>0.93386376795353099</v>
      </c>
      <c r="G468" s="239">
        <v>535.41</v>
      </c>
      <c r="H468" s="429" t="s">
        <v>123</v>
      </c>
      <c r="I468" s="429" t="s">
        <v>550</v>
      </c>
      <c r="J468" s="170" t="s">
        <v>96</v>
      </c>
      <c r="K468" s="170" t="s">
        <v>345</v>
      </c>
      <c r="L468" s="170" t="s">
        <v>113</v>
      </c>
      <c r="M468" s="75"/>
      <c r="N468" s="75"/>
      <c r="O468" s="75"/>
    </row>
    <row r="469" spans="1:15" ht="15.6">
      <c r="A469" s="428">
        <v>46094</v>
      </c>
      <c r="B469" s="429" t="s">
        <v>1053</v>
      </c>
      <c r="C469" s="170" t="s">
        <v>337</v>
      </c>
      <c r="D469" s="429" t="s">
        <v>259</v>
      </c>
      <c r="E469" s="429">
        <v>500</v>
      </c>
      <c r="F469" s="454">
        <f t="shared" si="7"/>
        <v>0.93386376795353099</v>
      </c>
      <c r="G469" s="239">
        <v>535.41</v>
      </c>
      <c r="H469" s="429" t="s">
        <v>123</v>
      </c>
      <c r="I469" s="429" t="s">
        <v>550</v>
      </c>
      <c r="J469" s="170" t="s">
        <v>96</v>
      </c>
      <c r="K469" s="170" t="s">
        <v>345</v>
      </c>
      <c r="L469" s="170" t="s">
        <v>113</v>
      </c>
      <c r="M469" s="75"/>
      <c r="N469" s="75"/>
      <c r="O469" s="75"/>
    </row>
    <row r="470" spans="1:15" ht="15.6">
      <c r="A470" s="428">
        <v>46094</v>
      </c>
      <c r="B470" s="429" t="s">
        <v>540</v>
      </c>
      <c r="C470" s="429" t="s">
        <v>541</v>
      </c>
      <c r="D470" s="429" t="s">
        <v>259</v>
      </c>
      <c r="E470" s="429">
        <v>2000</v>
      </c>
      <c r="F470" s="454">
        <f t="shared" si="7"/>
        <v>3.735455071814124</v>
      </c>
      <c r="G470" s="239">
        <v>535.41</v>
      </c>
      <c r="H470" s="429" t="s">
        <v>123</v>
      </c>
      <c r="I470" s="429" t="s">
        <v>551</v>
      </c>
      <c r="J470" s="170" t="s">
        <v>96</v>
      </c>
      <c r="K470" s="170" t="s">
        <v>345</v>
      </c>
      <c r="L470" s="170" t="s">
        <v>113</v>
      </c>
      <c r="M470" s="75"/>
      <c r="N470" s="75"/>
      <c r="O470" s="75"/>
    </row>
    <row r="471" spans="1:15" ht="15.6">
      <c r="A471" s="457">
        <v>46094</v>
      </c>
      <c r="B471" s="242" t="s">
        <v>1054</v>
      </c>
      <c r="C471" s="170" t="s">
        <v>337</v>
      </c>
      <c r="D471" s="242" t="s">
        <v>259</v>
      </c>
      <c r="E471" s="242">
        <v>500</v>
      </c>
      <c r="F471" s="454">
        <f t="shared" si="7"/>
        <v>0.93386376795353099</v>
      </c>
      <c r="G471" s="239">
        <v>535.41</v>
      </c>
      <c r="H471" s="242" t="s">
        <v>122</v>
      </c>
      <c r="I471" s="242" t="s">
        <v>594</v>
      </c>
      <c r="J471" s="170" t="s">
        <v>96</v>
      </c>
      <c r="K471" s="170" t="s">
        <v>345</v>
      </c>
      <c r="L471" s="170" t="s">
        <v>113</v>
      </c>
      <c r="M471" s="75"/>
      <c r="N471" s="75"/>
      <c r="O471" s="75"/>
    </row>
    <row r="472" spans="1:15" ht="15.6">
      <c r="A472" s="457">
        <v>46094</v>
      </c>
      <c r="B472" s="242" t="s">
        <v>1031</v>
      </c>
      <c r="C472" s="170" t="s">
        <v>337</v>
      </c>
      <c r="D472" s="242" t="s">
        <v>259</v>
      </c>
      <c r="E472" s="242">
        <v>500</v>
      </c>
      <c r="F472" s="454">
        <f t="shared" si="7"/>
        <v>0.93386376795353099</v>
      </c>
      <c r="G472" s="239">
        <v>535.41</v>
      </c>
      <c r="H472" s="242" t="s">
        <v>122</v>
      </c>
      <c r="I472" s="242" t="s">
        <v>594</v>
      </c>
      <c r="J472" s="170" t="s">
        <v>96</v>
      </c>
      <c r="K472" s="170" t="s">
        <v>345</v>
      </c>
      <c r="L472" s="170" t="s">
        <v>113</v>
      </c>
      <c r="M472" s="75"/>
      <c r="N472" s="75"/>
      <c r="O472" s="75"/>
    </row>
    <row r="473" spans="1:15" ht="15.6">
      <c r="A473" s="457">
        <v>46094</v>
      </c>
      <c r="B473" s="242" t="s">
        <v>1053</v>
      </c>
      <c r="C473" s="170" t="s">
        <v>337</v>
      </c>
      <c r="D473" s="242" t="s">
        <v>259</v>
      </c>
      <c r="E473" s="242">
        <v>500</v>
      </c>
      <c r="F473" s="454">
        <f t="shared" si="7"/>
        <v>0.93386376795353099</v>
      </c>
      <c r="G473" s="239">
        <v>535.41</v>
      </c>
      <c r="H473" s="242" t="s">
        <v>122</v>
      </c>
      <c r="I473" s="242" t="s">
        <v>594</v>
      </c>
      <c r="J473" s="170" t="s">
        <v>96</v>
      </c>
      <c r="K473" s="170" t="s">
        <v>345</v>
      </c>
      <c r="L473" s="170" t="s">
        <v>113</v>
      </c>
      <c r="M473" s="75"/>
      <c r="N473" s="75"/>
      <c r="O473" s="75"/>
    </row>
    <row r="474" spans="1:15" ht="15.6">
      <c r="A474" s="457">
        <v>46094</v>
      </c>
      <c r="B474" s="242" t="s">
        <v>1053</v>
      </c>
      <c r="C474" s="170" t="s">
        <v>337</v>
      </c>
      <c r="D474" s="242" t="s">
        <v>259</v>
      </c>
      <c r="E474" s="242">
        <v>500</v>
      </c>
      <c r="F474" s="454">
        <f t="shared" si="7"/>
        <v>0.93386376795353099</v>
      </c>
      <c r="G474" s="239">
        <v>535.41</v>
      </c>
      <c r="H474" s="242" t="s">
        <v>122</v>
      </c>
      <c r="I474" s="242" t="s">
        <v>594</v>
      </c>
      <c r="J474" s="170" t="s">
        <v>96</v>
      </c>
      <c r="K474" s="170" t="s">
        <v>345</v>
      </c>
      <c r="L474" s="170" t="s">
        <v>113</v>
      </c>
      <c r="M474" s="75"/>
      <c r="N474" s="75"/>
      <c r="O474" s="75"/>
    </row>
    <row r="475" spans="1:15" ht="15.6">
      <c r="A475" s="457">
        <v>46094</v>
      </c>
      <c r="B475" s="242" t="s">
        <v>1027</v>
      </c>
      <c r="C475" s="170" t="s">
        <v>337</v>
      </c>
      <c r="D475" s="242" t="s">
        <v>259</v>
      </c>
      <c r="E475" s="242">
        <v>500</v>
      </c>
      <c r="F475" s="454">
        <f t="shared" si="7"/>
        <v>0.93386376795353099</v>
      </c>
      <c r="G475" s="239">
        <v>535.41</v>
      </c>
      <c r="H475" s="242" t="s">
        <v>122</v>
      </c>
      <c r="I475" s="242" t="s">
        <v>594</v>
      </c>
      <c r="J475" s="170" t="s">
        <v>96</v>
      </c>
      <c r="K475" s="170" t="s">
        <v>345</v>
      </c>
      <c r="L475" s="170" t="s">
        <v>113</v>
      </c>
      <c r="M475" s="75"/>
      <c r="N475" s="75"/>
      <c r="O475" s="75"/>
    </row>
    <row r="476" spans="1:15" ht="15.6">
      <c r="A476" s="457">
        <v>46094</v>
      </c>
      <c r="B476" s="170" t="s">
        <v>1048</v>
      </c>
      <c r="C476" s="242" t="s">
        <v>406</v>
      </c>
      <c r="D476" s="242" t="s">
        <v>259</v>
      </c>
      <c r="E476" s="242">
        <v>10000</v>
      </c>
      <c r="F476" s="454">
        <f t="shared" si="7"/>
        <v>18.67727535907062</v>
      </c>
      <c r="G476" s="239">
        <v>535.41</v>
      </c>
      <c r="H476" s="242" t="s">
        <v>122</v>
      </c>
      <c r="I476" s="242" t="s">
        <v>611</v>
      </c>
      <c r="J476" s="170" t="s">
        <v>96</v>
      </c>
      <c r="K476" s="170" t="s">
        <v>345</v>
      </c>
      <c r="L476" s="170" t="s">
        <v>113</v>
      </c>
      <c r="M476" s="75"/>
      <c r="N476" s="75"/>
      <c r="O476" s="75"/>
    </row>
    <row r="477" spans="1:15" ht="15.6">
      <c r="A477" s="457">
        <v>46094</v>
      </c>
      <c r="B477" s="242" t="s">
        <v>1035</v>
      </c>
      <c r="C477" s="242" t="s">
        <v>402</v>
      </c>
      <c r="D477" s="242" t="s">
        <v>259</v>
      </c>
      <c r="E477" s="242">
        <v>10000</v>
      </c>
      <c r="F477" s="454">
        <f t="shared" si="7"/>
        <v>18.67727535907062</v>
      </c>
      <c r="G477" s="239">
        <v>535.41</v>
      </c>
      <c r="H477" s="242" t="s">
        <v>122</v>
      </c>
      <c r="I477" s="242" t="s">
        <v>612</v>
      </c>
      <c r="J477" s="170" t="s">
        <v>96</v>
      </c>
      <c r="K477" s="170" t="s">
        <v>345</v>
      </c>
      <c r="L477" s="170" t="s">
        <v>113</v>
      </c>
      <c r="M477" s="75"/>
      <c r="N477" s="75"/>
      <c r="O477" s="75"/>
    </row>
    <row r="478" spans="1:15" ht="15.6">
      <c r="A478" s="453">
        <v>46094</v>
      </c>
      <c r="B478" s="170" t="s">
        <v>1055</v>
      </c>
      <c r="C478" s="170" t="s">
        <v>542</v>
      </c>
      <c r="D478" s="170" t="s">
        <v>259</v>
      </c>
      <c r="E478" s="170">
        <v>30000</v>
      </c>
      <c r="F478" s="454">
        <f t="shared" si="7"/>
        <v>56.031826077211861</v>
      </c>
      <c r="G478" s="239">
        <v>535.41</v>
      </c>
      <c r="H478" s="170" t="s">
        <v>131</v>
      </c>
      <c r="I478" s="170" t="s">
        <v>669</v>
      </c>
      <c r="J478" s="170" t="s">
        <v>96</v>
      </c>
      <c r="K478" s="170" t="s">
        <v>345</v>
      </c>
      <c r="L478" s="170" t="s">
        <v>113</v>
      </c>
      <c r="M478" s="75"/>
      <c r="N478" s="75"/>
      <c r="O478" s="75"/>
    </row>
    <row r="479" spans="1:15" ht="15.6">
      <c r="A479" s="457">
        <v>46094</v>
      </c>
      <c r="B479" s="242" t="s">
        <v>1027</v>
      </c>
      <c r="C479" s="170" t="s">
        <v>337</v>
      </c>
      <c r="D479" s="242" t="s">
        <v>259</v>
      </c>
      <c r="E479" s="242">
        <v>500</v>
      </c>
      <c r="F479" s="454">
        <f t="shared" ref="F479:F542" si="8">E479/G479</f>
        <v>0.93386376795353099</v>
      </c>
      <c r="G479" s="239">
        <v>535.41</v>
      </c>
      <c r="H479" s="242" t="s">
        <v>131</v>
      </c>
      <c r="I479" s="242" t="s">
        <v>653</v>
      </c>
      <c r="J479" s="170" t="s">
        <v>96</v>
      </c>
      <c r="K479" s="170" t="s">
        <v>345</v>
      </c>
      <c r="L479" s="170" t="s">
        <v>113</v>
      </c>
      <c r="M479" s="75"/>
      <c r="N479" s="75"/>
      <c r="O479" s="75"/>
    </row>
    <row r="480" spans="1:15" ht="15.6">
      <c r="A480" s="453">
        <v>46094</v>
      </c>
      <c r="B480" s="170" t="s">
        <v>1028</v>
      </c>
      <c r="C480" s="242" t="s">
        <v>402</v>
      </c>
      <c r="D480" s="170" t="s">
        <v>259</v>
      </c>
      <c r="E480" s="170">
        <v>9000</v>
      </c>
      <c r="F480" s="454">
        <f t="shared" si="8"/>
        <v>16.809547823163559</v>
      </c>
      <c r="G480" s="239">
        <v>535.41</v>
      </c>
      <c r="H480" s="170" t="s">
        <v>131</v>
      </c>
      <c r="I480" s="170" t="s">
        <v>670</v>
      </c>
      <c r="J480" s="170" t="s">
        <v>96</v>
      </c>
      <c r="K480" s="170" t="s">
        <v>345</v>
      </c>
      <c r="L480" s="170" t="s">
        <v>113</v>
      </c>
      <c r="M480" s="75"/>
      <c r="N480" s="75"/>
      <c r="O480" s="75"/>
    </row>
    <row r="481" spans="1:15" ht="15.6">
      <c r="A481" s="457">
        <v>46094</v>
      </c>
      <c r="B481" s="242" t="s">
        <v>1027</v>
      </c>
      <c r="C481" s="170" t="s">
        <v>337</v>
      </c>
      <c r="D481" s="242" t="s">
        <v>259</v>
      </c>
      <c r="E481" s="242">
        <v>500</v>
      </c>
      <c r="F481" s="454">
        <f t="shared" si="8"/>
        <v>0.93386376795353099</v>
      </c>
      <c r="G481" s="239">
        <v>535.41</v>
      </c>
      <c r="H481" s="242" t="s">
        <v>131</v>
      </c>
      <c r="I481" s="242" t="s">
        <v>653</v>
      </c>
      <c r="J481" s="170" t="s">
        <v>96</v>
      </c>
      <c r="K481" s="170" t="s">
        <v>345</v>
      </c>
      <c r="L481" s="170" t="s">
        <v>113</v>
      </c>
      <c r="M481" s="75"/>
      <c r="N481" s="75"/>
      <c r="O481" s="75"/>
    </row>
    <row r="482" spans="1:15" ht="15.6">
      <c r="A482" s="453">
        <v>46094</v>
      </c>
      <c r="B482" s="170" t="s">
        <v>747</v>
      </c>
      <c r="C482" s="170" t="s">
        <v>748</v>
      </c>
      <c r="D482" s="469" t="s">
        <v>100</v>
      </c>
      <c r="E482" s="460">
        <v>6000</v>
      </c>
      <c r="F482" s="454">
        <f t="shared" si="8"/>
        <v>11.206365215442371</v>
      </c>
      <c r="G482" s="239">
        <v>535.41</v>
      </c>
      <c r="H482" s="242" t="s">
        <v>129</v>
      </c>
      <c r="I482" s="242" t="s">
        <v>789</v>
      </c>
      <c r="J482" s="170" t="s">
        <v>96</v>
      </c>
      <c r="K482" s="170" t="s">
        <v>345</v>
      </c>
      <c r="L482" s="170" t="s">
        <v>113</v>
      </c>
      <c r="M482" s="75"/>
      <c r="N482" s="75"/>
      <c r="O482" s="75"/>
    </row>
    <row r="483" spans="1:15" ht="15.6">
      <c r="A483" s="453">
        <v>46094</v>
      </c>
      <c r="B483" s="170" t="s">
        <v>749</v>
      </c>
      <c r="C483" s="170" t="s">
        <v>748</v>
      </c>
      <c r="D483" s="469" t="s">
        <v>100</v>
      </c>
      <c r="E483" s="460">
        <v>6000</v>
      </c>
      <c r="F483" s="454">
        <f t="shared" si="8"/>
        <v>11.206365215442371</v>
      </c>
      <c r="G483" s="239">
        <v>535.41</v>
      </c>
      <c r="H483" s="242" t="s">
        <v>129</v>
      </c>
      <c r="I483" s="242" t="s">
        <v>789</v>
      </c>
      <c r="J483" s="170" t="s">
        <v>96</v>
      </c>
      <c r="K483" s="170" t="s">
        <v>345</v>
      </c>
      <c r="L483" s="170" t="s">
        <v>113</v>
      </c>
      <c r="M483" s="75"/>
      <c r="N483" s="75"/>
      <c r="O483" s="75"/>
    </row>
    <row r="484" spans="1:15" ht="15.6">
      <c r="A484" s="453">
        <v>46094</v>
      </c>
      <c r="B484" s="170" t="s">
        <v>750</v>
      </c>
      <c r="C484" s="170" t="s">
        <v>748</v>
      </c>
      <c r="D484" s="469" t="s">
        <v>100</v>
      </c>
      <c r="E484" s="460">
        <v>6000</v>
      </c>
      <c r="F484" s="454">
        <f t="shared" si="8"/>
        <v>11.206365215442371</v>
      </c>
      <c r="G484" s="239">
        <v>535.41</v>
      </c>
      <c r="H484" s="242" t="s">
        <v>129</v>
      </c>
      <c r="I484" s="242" t="s">
        <v>789</v>
      </c>
      <c r="J484" s="170" t="s">
        <v>96</v>
      </c>
      <c r="K484" s="170" t="s">
        <v>345</v>
      </c>
      <c r="L484" s="170" t="s">
        <v>113</v>
      </c>
      <c r="M484" s="75"/>
      <c r="N484" s="75"/>
      <c r="O484" s="75"/>
    </row>
    <row r="485" spans="1:15" ht="15.6">
      <c r="A485" s="453">
        <v>46094</v>
      </c>
      <c r="B485" s="170" t="s">
        <v>751</v>
      </c>
      <c r="C485" s="170" t="s">
        <v>748</v>
      </c>
      <c r="D485" s="469" t="s">
        <v>100</v>
      </c>
      <c r="E485" s="460">
        <v>6000</v>
      </c>
      <c r="F485" s="454">
        <f t="shared" si="8"/>
        <v>11.206365215442371</v>
      </c>
      <c r="G485" s="239">
        <v>535.41</v>
      </c>
      <c r="H485" s="242" t="s">
        <v>129</v>
      </c>
      <c r="I485" s="242" t="s">
        <v>789</v>
      </c>
      <c r="J485" s="170" t="s">
        <v>96</v>
      </c>
      <c r="K485" s="170" t="s">
        <v>345</v>
      </c>
      <c r="L485" s="170" t="s">
        <v>113</v>
      </c>
      <c r="M485" s="75"/>
      <c r="N485" s="75"/>
      <c r="O485" s="75"/>
    </row>
    <row r="486" spans="1:15" ht="15.6">
      <c r="A486" s="453">
        <v>46094</v>
      </c>
      <c r="B486" s="170" t="s">
        <v>752</v>
      </c>
      <c r="C486" s="170" t="s">
        <v>748</v>
      </c>
      <c r="D486" s="469" t="s">
        <v>100</v>
      </c>
      <c r="E486" s="460">
        <v>6000</v>
      </c>
      <c r="F486" s="454">
        <f t="shared" si="8"/>
        <v>11.206365215442371</v>
      </c>
      <c r="G486" s="239">
        <v>535.41</v>
      </c>
      <c r="H486" s="242" t="s">
        <v>129</v>
      </c>
      <c r="I486" s="242" t="s">
        <v>789</v>
      </c>
      <c r="J486" s="170" t="s">
        <v>96</v>
      </c>
      <c r="K486" s="170" t="s">
        <v>345</v>
      </c>
      <c r="L486" s="170" t="s">
        <v>113</v>
      </c>
      <c r="M486" s="75"/>
      <c r="N486" s="75"/>
      <c r="O486" s="75"/>
    </row>
    <row r="487" spans="1:15" ht="15.6">
      <c r="A487" s="453">
        <v>46094</v>
      </c>
      <c r="B487" s="170" t="s">
        <v>753</v>
      </c>
      <c r="C487" s="170" t="s">
        <v>748</v>
      </c>
      <c r="D487" s="469" t="s">
        <v>100</v>
      </c>
      <c r="E487" s="460">
        <v>6000</v>
      </c>
      <c r="F487" s="454">
        <f t="shared" si="8"/>
        <v>11.206365215442371</v>
      </c>
      <c r="G487" s="239">
        <v>535.41</v>
      </c>
      <c r="H487" s="242" t="s">
        <v>129</v>
      </c>
      <c r="I487" s="242" t="s">
        <v>789</v>
      </c>
      <c r="J487" s="170" t="s">
        <v>96</v>
      </c>
      <c r="K487" s="170" t="s">
        <v>345</v>
      </c>
      <c r="L487" s="170" t="s">
        <v>113</v>
      </c>
      <c r="M487" s="75"/>
      <c r="N487" s="75"/>
      <c r="O487" s="75"/>
    </row>
    <row r="488" spans="1:15" ht="15.6">
      <c r="A488" s="453">
        <v>46094</v>
      </c>
      <c r="B488" s="170" t="s">
        <v>754</v>
      </c>
      <c r="C488" s="170" t="s">
        <v>748</v>
      </c>
      <c r="D488" s="469" t="s">
        <v>100</v>
      </c>
      <c r="E488" s="460">
        <v>6000</v>
      </c>
      <c r="F488" s="454">
        <f t="shared" si="8"/>
        <v>11.206365215442371</v>
      </c>
      <c r="G488" s="239">
        <v>535.41</v>
      </c>
      <c r="H488" s="242" t="s">
        <v>129</v>
      </c>
      <c r="I488" s="242" t="s">
        <v>789</v>
      </c>
      <c r="J488" s="170" t="s">
        <v>96</v>
      </c>
      <c r="K488" s="170" t="s">
        <v>345</v>
      </c>
      <c r="L488" s="170" t="s">
        <v>113</v>
      </c>
      <c r="M488" s="75"/>
      <c r="N488" s="75"/>
      <c r="O488" s="75"/>
    </row>
    <row r="489" spans="1:15" ht="15.6">
      <c r="A489" s="453">
        <v>46094</v>
      </c>
      <c r="B489" s="170" t="s">
        <v>755</v>
      </c>
      <c r="C489" s="170" t="s">
        <v>748</v>
      </c>
      <c r="D489" s="469" t="s">
        <v>100</v>
      </c>
      <c r="E489" s="460">
        <v>6000</v>
      </c>
      <c r="F489" s="454">
        <f t="shared" si="8"/>
        <v>11.206365215442371</v>
      </c>
      <c r="G489" s="239">
        <v>535.41</v>
      </c>
      <c r="H489" s="242" t="s">
        <v>129</v>
      </c>
      <c r="I489" s="242" t="s">
        <v>789</v>
      </c>
      <c r="J489" s="170" t="s">
        <v>96</v>
      </c>
      <c r="K489" s="170" t="s">
        <v>345</v>
      </c>
      <c r="L489" s="170" t="s">
        <v>113</v>
      </c>
      <c r="M489" s="75"/>
      <c r="N489" s="75"/>
      <c r="O489" s="75"/>
    </row>
    <row r="490" spans="1:15" ht="15.6">
      <c r="A490" s="453">
        <v>46094</v>
      </c>
      <c r="B490" s="170" t="s">
        <v>756</v>
      </c>
      <c r="C490" s="170" t="s">
        <v>748</v>
      </c>
      <c r="D490" s="469" t="s">
        <v>100</v>
      </c>
      <c r="E490" s="460">
        <v>6000</v>
      </c>
      <c r="F490" s="454">
        <f t="shared" si="8"/>
        <v>11.206365215442371</v>
      </c>
      <c r="G490" s="239">
        <v>535.41</v>
      </c>
      <c r="H490" s="242" t="s">
        <v>129</v>
      </c>
      <c r="I490" s="242" t="s">
        <v>789</v>
      </c>
      <c r="J490" s="170" t="s">
        <v>96</v>
      </c>
      <c r="K490" s="170" t="s">
        <v>345</v>
      </c>
      <c r="L490" s="170" t="s">
        <v>113</v>
      </c>
      <c r="M490" s="75"/>
      <c r="N490" s="75"/>
      <c r="O490" s="75"/>
    </row>
    <row r="491" spans="1:15" ht="15.6">
      <c r="A491" s="453">
        <v>46094</v>
      </c>
      <c r="B491" s="170" t="s">
        <v>757</v>
      </c>
      <c r="C491" s="170" t="s">
        <v>748</v>
      </c>
      <c r="D491" s="469" t="s">
        <v>100</v>
      </c>
      <c r="E491" s="460">
        <v>6000</v>
      </c>
      <c r="F491" s="454">
        <f t="shared" si="8"/>
        <v>11.206365215442371</v>
      </c>
      <c r="G491" s="239">
        <v>535.41</v>
      </c>
      <c r="H491" s="242" t="s">
        <v>129</v>
      </c>
      <c r="I491" s="242" t="s">
        <v>789</v>
      </c>
      <c r="J491" s="170" t="s">
        <v>96</v>
      </c>
      <c r="K491" s="170" t="s">
        <v>345</v>
      </c>
      <c r="L491" s="170" t="s">
        <v>113</v>
      </c>
      <c r="M491" s="75"/>
      <c r="N491" s="75"/>
      <c r="O491" s="75"/>
    </row>
    <row r="492" spans="1:15" ht="15.6">
      <c r="A492" s="453">
        <v>46094</v>
      </c>
      <c r="B492" s="170" t="s">
        <v>758</v>
      </c>
      <c r="C492" s="170" t="s">
        <v>748</v>
      </c>
      <c r="D492" s="469" t="s">
        <v>100</v>
      </c>
      <c r="E492" s="460">
        <v>6000</v>
      </c>
      <c r="F492" s="454">
        <f t="shared" si="8"/>
        <v>11.206365215442371</v>
      </c>
      <c r="G492" s="239">
        <v>535.41</v>
      </c>
      <c r="H492" s="242" t="s">
        <v>129</v>
      </c>
      <c r="I492" s="242" t="s">
        <v>789</v>
      </c>
      <c r="J492" s="170" t="s">
        <v>96</v>
      </c>
      <c r="K492" s="170" t="s">
        <v>345</v>
      </c>
      <c r="L492" s="170" t="s">
        <v>113</v>
      </c>
      <c r="M492" s="75"/>
      <c r="N492" s="75"/>
      <c r="O492" s="75"/>
    </row>
    <row r="493" spans="1:15" ht="15.6">
      <c r="A493" s="453">
        <v>46094</v>
      </c>
      <c r="B493" s="170" t="s">
        <v>759</v>
      </c>
      <c r="C493" s="170" t="s">
        <v>748</v>
      </c>
      <c r="D493" s="469" t="s">
        <v>100</v>
      </c>
      <c r="E493" s="460">
        <v>6000</v>
      </c>
      <c r="F493" s="454">
        <f t="shared" si="8"/>
        <v>11.206365215442371</v>
      </c>
      <c r="G493" s="239">
        <v>535.41</v>
      </c>
      <c r="H493" s="242" t="s">
        <v>129</v>
      </c>
      <c r="I493" s="242" t="s">
        <v>789</v>
      </c>
      <c r="J493" s="170" t="s">
        <v>96</v>
      </c>
      <c r="K493" s="170" t="s">
        <v>345</v>
      </c>
      <c r="L493" s="170" t="s">
        <v>113</v>
      </c>
      <c r="M493" s="75"/>
      <c r="N493" s="75"/>
      <c r="O493" s="75"/>
    </row>
    <row r="494" spans="1:15" ht="15.6">
      <c r="A494" s="453">
        <v>46094</v>
      </c>
      <c r="B494" s="170" t="s">
        <v>760</v>
      </c>
      <c r="C494" s="170" t="s">
        <v>748</v>
      </c>
      <c r="D494" s="469" t="s">
        <v>100</v>
      </c>
      <c r="E494" s="460">
        <v>6000</v>
      </c>
      <c r="F494" s="454">
        <f t="shared" si="8"/>
        <v>11.206365215442371</v>
      </c>
      <c r="G494" s="239">
        <v>535.41</v>
      </c>
      <c r="H494" s="242" t="s">
        <v>129</v>
      </c>
      <c r="I494" s="242" t="s">
        <v>789</v>
      </c>
      <c r="J494" s="170" t="s">
        <v>96</v>
      </c>
      <c r="K494" s="170" t="s">
        <v>345</v>
      </c>
      <c r="L494" s="170" t="s">
        <v>113</v>
      </c>
      <c r="M494" s="75"/>
      <c r="N494" s="75"/>
      <c r="O494" s="75"/>
    </row>
    <row r="495" spans="1:15" ht="15.6">
      <c r="A495" s="453">
        <v>46094</v>
      </c>
      <c r="B495" s="170" t="s">
        <v>761</v>
      </c>
      <c r="C495" s="170" t="s">
        <v>748</v>
      </c>
      <c r="D495" s="469" t="s">
        <v>100</v>
      </c>
      <c r="E495" s="460">
        <v>6000</v>
      </c>
      <c r="F495" s="454">
        <f t="shared" si="8"/>
        <v>11.206365215442371</v>
      </c>
      <c r="G495" s="239">
        <v>535.41</v>
      </c>
      <c r="H495" s="242" t="s">
        <v>129</v>
      </c>
      <c r="I495" s="242" t="s">
        <v>789</v>
      </c>
      <c r="J495" s="170" t="s">
        <v>96</v>
      </c>
      <c r="K495" s="170" t="s">
        <v>345</v>
      </c>
      <c r="L495" s="170" t="s">
        <v>113</v>
      </c>
      <c r="M495" s="75"/>
      <c r="N495" s="75"/>
      <c r="O495" s="75"/>
    </row>
    <row r="496" spans="1:15" ht="15.6">
      <c r="A496" s="453">
        <v>46094</v>
      </c>
      <c r="B496" s="170" t="s">
        <v>762</v>
      </c>
      <c r="C496" s="170" t="s">
        <v>748</v>
      </c>
      <c r="D496" s="469" t="s">
        <v>100</v>
      </c>
      <c r="E496" s="460">
        <v>10000</v>
      </c>
      <c r="F496" s="454">
        <f t="shared" si="8"/>
        <v>18.67727535907062</v>
      </c>
      <c r="G496" s="239">
        <v>535.41</v>
      </c>
      <c r="H496" s="242" t="s">
        <v>129</v>
      </c>
      <c r="I496" s="242" t="s">
        <v>790</v>
      </c>
      <c r="J496" s="170" t="s">
        <v>96</v>
      </c>
      <c r="K496" s="170" t="s">
        <v>345</v>
      </c>
      <c r="L496" s="170" t="s">
        <v>113</v>
      </c>
      <c r="M496" s="75"/>
      <c r="N496" s="75"/>
      <c r="O496" s="75"/>
    </row>
    <row r="497" spans="1:15" ht="15.6">
      <c r="A497" s="453">
        <v>46094</v>
      </c>
      <c r="B497" s="170" t="s">
        <v>763</v>
      </c>
      <c r="C497" s="170" t="s">
        <v>748</v>
      </c>
      <c r="D497" s="469" t="s">
        <v>100</v>
      </c>
      <c r="E497" s="460">
        <v>10000</v>
      </c>
      <c r="F497" s="454">
        <f t="shared" si="8"/>
        <v>18.67727535907062</v>
      </c>
      <c r="G497" s="239">
        <v>535.41</v>
      </c>
      <c r="H497" s="242" t="s">
        <v>129</v>
      </c>
      <c r="I497" s="242" t="s">
        <v>790</v>
      </c>
      <c r="J497" s="170" t="s">
        <v>96</v>
      </c>
      <c r="K497" s="170" t="s">
        <v>345</v>
      </c>
      <c r="L497" s="170" t="s">
        <v>113</v>
      </c>
      <c r="M497" s="75"/>
      <c r="N497" s="75"/>
      <c r="O497" s="75"/>
    </row>
    <row r="498" spans="1:15" ht="15.6">
      <c r="A498" s="453">
        <v>46094</v>
      </c>
      <c r="B498" s="170" t="s">
        <v>764</v>
      </c>
      <c r="C498" s="170" t="s">
        <v>748</v>
      </c>
      <c r="D498" s="469" t="s">
        <v>100</v>
      </c>
      <c r="E498" s="460">
        <v>10000</v>
      </c>
      <c r="F498" s="454">
        <f t="shared" si="8"/>
        <v>18.67727535907062</v>
      </c>
      <c r="G498" s="239">
        <v>535.41</v>
      </c>
      <c r="H498" s="242" t="s">
        <v>129</v>
      </c>
      <c r="I498" s="242" t="s">
        <v>790</v>
      </c>
      <c r="J498" s="170" t="s">
        <v>96</v>
      </c>
      <c r="K498" s="170" t="s">
        <v>345</v>
      </c>
      <c r="L498" s="170" t="s">
        <v>113</v>
      </c>
      <c r="M498" s="75"/>
      <c r="N498" s="75"/>
      <c r="O498" s="75"/>
    </row>
    <row r="499" spans="1:15" ht="15.6">
      <c r="A499" s="453">
        <v>46094</v>
      </c>
      <c r="B499" s="170" t="s">
        <v>765</v>
      </c>
      <c r="C499" s="170" t="s">
        <v>748</v>
      </c>
      <c r="D499" s="469" t="s">
        <v>100</v>
      </c>
      <c r="E499" s="460">
        <v>10000</v>
      </c>
      <c r="F499" s="454">
        <f t="shared" si="8"/>
        <v>18.67727535907062</v>
      </c>
      <c r="G499" s="239">
        <v>535.41</v>
      </c>
      <c r="H499" s="242" t="s">
        <v>129</v>
      </c>
      <c r="I499" s="242" t="s">
        <v>790</v>
      </c>
      <c r="J499" s="170" t="s">
        <v>96</v>
      </c>
      <c r="K499" s="170" t="s">
        <v>345</v>
      </c>
      <c r="L499" s="170" t="s">
        <v>113</v>
      </c>
      <c r="M499" s="75"/>
      <c r="N499" s="75"/>
      <c r="O499" s="75"/>
    </row>
    <row r="500" spans="1:15" ht="15.6">
      <c r="A500" s="453">
        <v>46094</v>
      </c>
      <c r="B500" s="170" t="s">
        <v>766</v>
      </c>
      <c r="C500" s="170" t="s">
        <v>748</v>
      </c>
      <c r="D500" s="469" t="s">
        <v>100</v>
      </c>
      <c r="E500" s="460">
        <v>6000</v>
      </c>
      <c r="F500" s="454">
        <f t="shared" si="8"/>
        <v>11.206365215442371</v>
      </c>
      <c r="G500" s="239">
        <v>535.41</v>
      </c>
      <c r="H500" s="242" t="s">
        <v>129</v>
      </c>
      <c r="I500" s="242" t="s">
        <v>791</v>
      </c>
      <c r="J500" s="170" t="s">
        <v>96</v>
      </c>
      <c r="K500" s="170" t="s">
        <v>345</v>
      </c>
      <c r="L500" s="170" t="s">
        <v>113</v>
      </c>
      <c r="M500" s="75"/>
      <c r="N500" s="75"/>
      <c r="O500" s="75"/>
    </row>
    <row r="501" spans="1:15" ht="15.6">
      <c r="A501" s="453">
        <v>46094</v>
      </c>
      <c r="B501" s="170" t="s">
        <v>767</v>
      </c>
      <c r="C501" s="170" t="s">
        <v>748</v>
      </c>
      <c r="D501" s="469" t="s">
        <v>100</v>
      </c>
      <c r="E501" s="460">
        <v>18000</v>
      </c>
      <c r="F501" s="454">
        <f t="shared" si="8"/>
        <v>33.619095646327118</v>
      </c>
      <c r="G501" s="239">
        <v>535.41</v>
      </c>
      <c r="H501" s="242" t="s">
        <v>129</v>
      </c>
      <c r="I501" s="242" t="s">
        <v>791</v>
      </c>
      <c r="J501" s="170" t="s">
        <v>96</v>
      </c>
      <c r="K501" s="170" t="s">
        <v>345</v>
      </c>
      <c r="L501" s="170" t="s">
        <v>113</v>
      </c>
      <c r="M501" s="75"/>
      <c r="N501" s="75"/>
      <c r="O501" s="75"/>
    </row>
    <row r="502" spans="1:15" ht="15.6">
      <c r="A502" s="457">
        <v>46095</v>
      </c>
      <c r="B502" s="242" t="s">
        <v>186</v>
      </c>
      <c r="C502" s="170" t="s">
        <v>337</v>
      </c>
      <c r="D502" s="458" t="s">
        <v>99</v>
      </c>
      <c r="E502" s="242">
        <v>1000</v>
      </c>
      <c r="F502" s="454">
        <f t="shared" si="8"/>
        <v>1.8677282335885521</v>
      </c>
      <c r="G502" s="239">
        <v>535.40980000000002</v>
      </c>
      <c r="H502" s="459" t="s">
        <v>111</v>
      </c>
      <c r="I502" s="170" t="s">
        <v>380</v>
      </c>
      <c r="J502" s="170" t="s">
        <v>96</v>
      </c>
      <c r="K502" s="170" t="s">
        <v>345</v>
      </c>
      <c r="L502" s="170" t="s">
        <v>113</v>
      </c>
      <c r="M502" s="364"/>
      <c r="N502" s="364"/>
      <c r="O502" s="75"/>
    </row>
    <row r="503" spans="1:15" ht="15.6">
      <c r="A503" s="457">
        <v>46095</v>
      </c>
      <c r="B503" s="242" t="s">
        <v>187</v>
      </c>
      <c r="C503" s="170" t="s">
        <v>337</v>
      </c>
      <c r="D503" s="458" t="s">
        <v>99</v>
      </c>
      <c r="E503" s="242">
        <v>1000</v>
      </c>
      <c r="F503" s="454">
        <f t="shared" si="8"/>
        <v>1.8677282335885521</v>
      </c>
      <c r="G503" s="239">
        <v>535.40980000000002</v>
      </c>
      <c r="H503" s="459" t="s">
        <v>111</v>
      </c>
      <c r="I503" s="170" t="s">
        <v>380</v>
      </c>
      <c r="J503" s="170" t="s">
        <v>96</v>
      </c>
      <c r="K503" s="170" t="s">
        <v>345</v>
      </c>
      <c r="L503" s="170" t="s">
        <v>113</v>
      </c>
      <c r="M503" s="364"/>
      <c r="N503" s="364"/>
      <c r="O503" s="75"/>
    </row>
    <row r="504" spans="1:15" ht="15.6">
      <c r="A504" s="428">
        <v>46095</v>
      </c>
      <c r="B504" s="429" t="s">
        <v>1051</v>
      </c>
      <c r="C504" s="429" t="s">
        <v>542</v>
      </c>
      <c r="D504" s="429" t="s">
        <v>259</v>
      </c>
      <c r="E504" s="429">
        <v>10000</v>
      </c>
      <c r="F504" s="454">
        <f t="shared" si="8"/>
        <v>18.67727535907062</v>
      </c>
      <c r="G504" s="239">
        <v>535.41</v>
      </c>
      <c r="H504" s="429" t="s">
        <v>123</v>
      </c>
      <c r="I504" s="429" t="s">
        <v>559</v>
      </c>
      <c r="J504" s="170" t="s">
        <v>96</v>
      </c>
      <c r="K504" s="170" t="s">
        <v>345</v>
      </c>
      <c r="L504" s="170" t="s">
        <v>113</v>
      </c>
      <c r="M504" s="75"/>
      <c r="N504" s="75"/>
      <c r="O504" s="75"/>
    </row>
    <row r="505" spans="1:15" ht="15.6">
      <c r="A505" s="428">
        <v>46095</v>
      </c>
      <c r="B505" s="429" t="s">
        <v>1043</v>
      </c>
      <c r="C505" s="242" t="s">
        <v>402</v>
      </c>
      <c r="D505" s="429" t="s">
        <v>259</v>
      </c>
      <c r="E505" s="429">
        <v>3500</v>
      </c>
      <c r="F505" s="454">
        <f t="shared" si="8"/>
        <v>6.5370463756747172</v>
      </c>
      <c r="G505" s="239">
        <v>535.41</v>
      </c>
      <c r="H505" s="429" t="s">
        <v>123</v>
      </c>
      <c r="I505" s="429" t="s">
        <v>560</v>
      </c>
      <c r="J505" s="170" t="s">
        <v>96</v>
      </c>
      <c r="K505" s="170" t="s">
        <v>345</v>
      </c>
      <c r="L505" s="170" t="s">
        <v>113</v>
      </c>
      <c r="M505" s="75"/>
      <c r="N505" s="75"/>
      <c r="O505" s="75"/>
    </row>
    <row r="506" spans="1:15" ht="15.6">
      <c r="A506" s="428">
        <v>46095</v>
      </c>
      <c r="B506" s="429" t="s">
        <v>1052</v>
      </c>
      <c r="C506" s="170" t="s">
        <v>337</v>
      </c>
      <c r="D506" s="429" t="s">
        <v>259</v>
      </c>
      <c r="E506" s="429">
        <v>500</v>
      </c>
      <c r="F506" s="454">
        <f t="shared" si="8"/>
        <v>0.93386376795353099</v>
      </c>
      <c r="G506" s="239">
        <v>535.41</v>
      </c>
      <c r="H506" s="429" t="s">
        <v>123</v>
      </c>
      <c r="I506" s="429" t="s">
        <v>550</v>
      </c>
      <c r="J506" s="170" t="s">
        <v>96</v>
      </c>
      <c r="K506" s="170" t="s">
        <v>345</v>
      </c>
      <c r="L506" s="170" t="s">
        <v>113</v>
      </c>
      <c r="M506" s="75"/>
      <c r="N506" s="75"/>
      <c r="O506" s="75"/>
    </row>
    <row r="507" spans="1:15" ht="15.6">
      <c r="A507" s="428">
        <v>46095</v>
      </c>
      <c r="B507" s="429" t="s">
        <v>1033</v>
      </c>
      <c r="C507" s="170" t="s">
        <v>337</v>
      </c>
      <c r="D507" s="429" t="s">
        <v>259</v>
      </c>
      <c r="E507" s="429">
        <v>1000</v>
      </c>
      <c r="F507" s="454">
        <f t="shared" si="8"/>
        <v>1.867727535907062</v>
      </c>
      <c r="G507" s="239">
        <v>535.41</v>
      </c>
      <c r="H507" s="429" t="s">
        <v>123</v>
      </c>
      <c r="I507" s="429" t="s">
        <v>550</v>
      </c>
      <c r="J507" s="170" t="s">
        <v>96</v>
      </c>
      <c r="K507" s="170" t="s">
        <v>345</v>
      </c>
      <c r="L507" s="170" t="s">
        <v>113</v>
      </c>
      <c r="M507" s="75"/>
      <c r="N507" s="75"/>
      <c r="O507" s="75"/>
    </row>
    <row r="508" spans="1:15" ht="15.6">
      <c r="A508" s="428">
        <v>46095</v>
      </c>
      <c r="B508" s="429" t="s">
        <v>1033</v>
      </c>
      <c r="C508" s="170" t="s">
        <v>337</v>
      </c>
      <c r="D508" s="429" t="s">
        <v>259</v>
      </c>
      <c r="E508" s="429">
        <v>1000</v>
      </c>
      <c r="F508" s="454">
        <f t="shared" si="8"/>
        <v>1.867727535907062</v>
      </c>
      <c r="G508" s="239">
        <v>535.41</v>
      </c>
      <c r="H508" s="429" t="s">
        <v>123</v>
      </c>
      <c r="I508" s="429" t="s">
        <v>550</v>
      </c>
      <c r="J508" s="170" t="s">
        <v>96</v>
      </c>
      <c r="K508" s="170" t="s">
        <v>345</v>
      </c>
      <c r="L508" s="170" t="s">
        <v>113</v>
      </c>
      <c r="M508" s="75"/>
      <c r="N508" s="75"/>
      <c r="O508" s="75"/>
    </row>
    <row r="509" spans="1:15" ht="15.6">
      <c r="A509" s="428">
        <v>46095</v>
      </c>
      <c r="B509" s="429" t="s">
        <v>1033</v>
      </c>
      <c r="C509" s="170" t="s">
        <v>337</v>
      </c>
      <c r="D509" s="429" t="s">
        <v>259</v>
      </c>
      <c r="E509" s="429">
        <v>1000</v>
      </c>
      <c r="F509" s="454">
        <f t="shared" si="8"/>
        <v>1.867727535907062</v>
      </c>
      <c r="G509" s="239">
        <v>535.41</v>
      </c>
      <c r="H509" s="429" t="s">
        <v>123</v>
      </c>
      <c r="I509" s="429" t="s">
        <v>550</v>
      </c>
      <c r="J509" s="170" t="s">
        <v>96</v>
      </c>
      <c r="K509" s="170" t="s">
        <v>345</v>
      </c>
      <c r="L509" s="170" t="s">
        <v>113</v>
      </c>
      <c r="M509" s="75"/>
      <c r="N509" s="75"/>
      <c r="O509" s="75"/>
    </row>
    <row r="510" spans="1:15" ht="15.6">
      <c r="A510" s="428">
        <v>46095</v>
      </c>
      <c r="B510" s="429" t="s">
        <v>1033</v>
      </c>
      <c r="C510" s="170" t="s">
        <v>337</v>
      </c>
      <c r="D510" s="429" t="s">
        <v>259</v>
      </c>
      <c r="E510" s="429">
        <v>1000</v>
      </c>
      <c r="F510" s="454">
        <f t="shared" si="8"/>
        <v>1.867727535907062</v>
      </c>
      <c r="G510" s="239">
        <v>535.41</v>
      </c>
      <c r="H510" s="429" t="s">
        <v>123</v>
      </c>
      <c r="I510" s="429" t="s">
        <v>550</v>
      </c>
      <c r="J510" s="170" t="s">
        <v>96</v>
      </c>
      <c r="K510" s="170" t="s">
        <v>345</v>
      </c>
      <c r="L510" s="170" t="s">
        <v>113</v>
      </c>
      <c r="M510" s="75"/>
      <c r="N510" s="75"/>
      <c r="O510" s="75"/>
    </row>
    <row r="511" spans="1:15" ht="15.6">
      <c r="A511" s="428">
        <v>46095</v>
      </c>
      <c r="B511" s="429" t="s">
        <v>1033</v>
      </c>
      <c r="C511" s="170" t="s">
        <v>337</v>
      </c>
      <c r="D511" s="429" t="s">
        <v>259</v>
      </c>
      <c r="E511" s="429">
        <v>1000</v>
      </c>
      <c r="F511" s="454">
        <f t="shared" si="8"/>
        <v>1.867727535907062</v>
      </c>
      <c r="G511" s="239">
        <v>535.41</v>
      </c>
      <c r="H511" s="429" t="s">
        <v>123</v>
      </c>
      <c r="I511" s="429" t="s">
        <v>550</v>
      </c>
      <c r="J511" s="170" t="s">
        <v>96</v>
      </c>
      <c r="K511" s="170" t="s">
        <v>345</v>
      </c>
      <c r="L511" s="170" t="s">
        <v>113</v>
      </c>
      <c r="M511" s="75"/>
      <c r="N511" s="75"/>
      <c r="O511" s="75"/>
    </row>
    <row r="512" spans="1:15" ht="15.6">
      <c r="A512" s="428">
        <v>46095</v>
      </c>
      <c r="B512" s="429" t="s">
        <v>540</v>
      </c>
      <c r="C512" s="429" t="s">
        <v>541</v>
      </c>
      <c r="D512" s="429" t="s">
        <v>259</v>
      </c>
      <c r="E512" s="429">
        <v>2000</v>
      </c>
      <c r="F512" s="454">
        <f t="shared" si="8"/>
        <v>3.735455071814124</v>
      </c>
      <c r="G512" s="239">
        <v>535.41</v>
      </c>
      <c r="H512" s="429" t="s">
        <v>123</v>
      </c>
      <c r="I512" s="429" t="s">
        <v>551</v>
      </c>
      <c r="J512" s="170" t="s">
        <v>96</v>
      </c>
      <c r="K512" s="170" t="s">
        <v>345</v>
      </c>
      <c r="L512" s="170" t="s">
        <v>113</v>
      </c>
      <c r="M512" s="75"/>
      <c r="N512" s="75"/>
      <c r="O512" s="75"/>
    </row>
    <row r="513" spans="1:15" ht="15.6">
      <c r="A513" s="457">
        <v>46095</v>
      </c>
      <c r="B513" s="242" t="s">
        <v>1031</v>
      </c>
      <c r="C513" s="170" t="s">
        <v>337</v>
      </c>
      <c r="D513" s="242" t="s">
        <v>259</v>
      </c>
      <c r="E513" s="242">
        <v>500</v>
      </c>
      <c r="F513" s="454">
        <f t="shared" si="8"/>
        <v>0.93386376795353099</v>
      </c>
      <c r="G513" s="239">
        <v>535.41</v>
      </c>
      <c r="H513" s="242" t="s">
        <v>122</v>
      </c>
      <c r="I513" s="242" t="s">
        <v>594</v>
      </c>
      <c r="J513" s="170" t="s">
        <v>96</v>
      </c>
      <c r="K513" s="170" t="s">
        <v>345</v>
      </c>
      <c r="L513" s="170" t="s">
        <v>113</v>
      </c>
      <c r="M513" s="75"/>
      <c r="N513" s="75"/>
      <c r="O513" s="75"/>
    </row>
    <row r="514" spans="1:15" ht="15.6">
      <c r="A514" s="457">
        <v>46095</v>
      </c>
      <c r="B514" s="242" t="s">
        <v>1031</v>
      </c>
      <c r="C514" s="170" t="s">
        <v>337</v>
      </c>
      <c r="D514" s="242" t="s">
        <v>259</v>
      </c>
      <c r="E514" s="242">
        <v>500</v>
      </c>
      <c r="F514" s="454">
        <f t="shared" si="8"/>
        <v>0.93386376795353099</v>
      </c>
      <c r="G514" s="239">
        <v>535.41</v>
      </c>
      <c r="H514" s="242" t="s">
        <v>122</v>
      </c>
      <c r="I514" s="242" t="s">
        <v>594</v>
      </c>
      <c r="J514" s="170" t="s">
        <v>96</v>
      </c>
      <c r="K514" s="170" t="s">
        <v>345</v>
      </c>
      <c r="L514" s="170" t="s">
        <v>113</v>
      </c>
      <c r="M514" s="75"/>
      <c r="N514" s="75"/>
      <c r="O514" s="75"/>
    </row>
    <row r="515" spans="1:15" ht="15.6">
      <c r="A515" s="457">
        <v>46095</v>
      </c>
      <c r="B515" s="242" t="s">
        <v>1031</v>
      </c>
      <c r="C515" s="170" t="s">
        <v>337</v>
      </c>
      <c r="D515" s="242" t="s">
        <v>259</v>
      </c>
      <c r="E515" s="242">
        <v>500</v>
      </c>
      <c r="F515" s="454">
        <f t="shared" si="8"/>
        <v>0.93386376795353099</v>
      </c>
      <c r="G515" s="239">
        <v>535.41</v>
      </c>
      <c r="H515" s="242" t="s">
        <v>122</v>
      </c>
      <c r="I515" s="242" t="s">
        <v>594</v>
      </c>
      <c r="J515" s="170" t="s">
        <v>96</v>
      </c>
      <c r="K515" s="170" t="s">
        <v>345</v>
      </c>
      <c r="L515" s="170" t="s">
        <v>113</v>
      </c>
      <c r="M515" s="75"/>
      <c r="N515" s="75"/>
      <c r="O515" s="75"/>
    </row>
    <row r="516" spans="1:15" ht="15.6">
      <c r="A516" s="457">
        <v>46095</v>
      </c>
      <c r="B516" s="242" t="s">
        <v>1031</v>
      </c>
      <c r="C516" s="170" t="s">
        <v>337</v>
      </c>
      <c r="D516" s="242" t="s">
        <v>259</v>
      </c>
      <c r="E516" s="242">
        <v>500</v>
      </c>
      <c r="F516" s="454">
        <f t="shared" si="8"/>
        <v>0.93386376795353099</v>
      </c>
      <c r="G516" s="239">
        <v>535.41</v>
      </c>
      <c r="H516" s="242" t="s">
        <v>122</v>
      </c>
      <c r="I516" s="242" t="s">
        <v>594</v>
      </c>
      <c r="J516" s="170" t="s">
        <v>96</v>
      </c>
      <c r="K516" s="170" t="s">
        <v>345</v>
      </c>
      <c r="L516" s="170" t="s">
        <v>113</v>
      </c>
      <c r="M516" s="75"/>
      <c r="N516" s="75"/>
      <c r="O516" s="75"/>
    </row>
    <row r="517" spans="1:15" ht="15.6">
      <c r="A517" s="457">
        <v>46095</v>
      </c>
      <c r="B517" s="242" t="s">
        <v>1031</v>
      </c>
      <c r="C517" s="170" t="s">
        <v>337</v>
      </c>
      <c r="D517" s="242" t="s">
        <v>259</v>
      </c>
      <c r="E517" s="242">
        <v>500</v>
      </c>
      <c r="F517" s="454">
        <f t="shared" si="8"/>
        <v>0.93386376795353099</v>
      </c>
      <c r="G517" s="239">
        <v>535.41</v>
      </c>
      <c r="H517" s="242" t="s">
        <v>122</v>
      </c>
      <c r="I517" s="242" t="s">
        <v>594</v>
      </c>
      <c r="J517" s="170" t="s">
        <v>96</v>
      </c>
      <c r="K517" s="170" t="s">
        <v>345</v>
      </c>
      <c r="L517" s="170" t="s">
        <v>113</v>
      </c>
      <c r="M517" s="75"/>
      <c r="N517" s="75"/>
      <c r="O517" s="75"/>
    </row>
    <row r="518" spans="1:15" ht="15.6">
      <c r="A518" s="457">
        <v>46095</v>
      </c>
      <c r="B518" s="242" t="s">
        <v>1027</v>
      </c>
      <c r="C518" s="170" t="s">
        <v>337</v>
      </c>
      <c r="D518" s="242" t="s">
        <v>259</v>
      </c>
      <c r="E518" s="242">
        <v>500</v>
      </c>
      <c r="F518" s="454">
        <f t="shared" si="8"/>
        <v>0.93386376795353099</v>
      </c>
      <c r="G518" s="239">
        <v>535.41</v>
      </c>
      <c r="H518" s="242" t="s">
        <v>131</v>
      </c>
      <c r="I518" s="242" t="s">
        <v>653</v>
      </c>
      <c r="J518" s="170" t="s">
        <v>96</v>
      </c>
      <c r="K518" s="170" t="s">
        <v>345</v>
      </c>
      <c r="L518" s="170" t="s">
        <v>113</v>
      </c>
      <c r="M518" s="75"/>
      <c r="N518" s="75"/>
      <c r="O518" s="75"/>
    </row>
    <row r="519" spans="1:15" ht="15.6">
      <c r="A519" s="457">
        <v>46095</v>
      </c>
      <c r="B519" s="242" t="s">
        <v>1056</v>
      </c>
      <c r="C519" s="242" t="s">
        <v>647</v>
      </c>
      <c r="D519" s="242" t="s">
        <v>259</v>
      </c>
      <c r="E519" s="242">
        <v>1600</v>
      </c>
      <c r="F519" s="454">
        <f t="shared" si="8"/>
        <v>2.9883640574512991</v>
      </c>
      <c r="G519" s="239">
        <v>535.41</v>
      </c>
      <c r="H519" s="242" t="s">
        <v>131</v>
      </c>
      <c r="I519" s="242" t="s">
        <v>658</v>
      </c>
      <c r="J519" s="170" t="s">
        <v>96</v>
      </c>
      <c r="K519" s="170" t="s">
        <v>345</v>
      </c>
      <c r="L519" s="170" t="s">
        <v>113</v>
      </c>
      <c r="M519" s="75"/>
      <c r="N519" s="75"/>
      <c r="O519" s="75"/>
    </row>
    <row r="520" spans="1:15" ht="15.6">
      <c r="A520" s="457">
        <v>46095</v>
      </c>
      <c r="B520" s="242" t="s">
        <v>1027</v>
      </c>
      <c r="C520" s="170" t="s">
        <v>337</v>
      </c>
      <c r="D520" s="242" t="s">
        <v>259</v>
      </c>
      <c r="E520" s="242">
        <v>500</v>
      </c>
      <c r="F520" s="454">
        <f t="shared" si="8"/>
        <v>0.93386376795353099</v>
      </c>
      <c r="G520" s="239">
        <v>535.41</v>
      </c>
      <c r="H520" s="242" t="s">
        <v>131</v>
      </c>
      <c r="I520" s="242" t="s">
        <v>653</v>
      </c>
      <c r="J520" s="170" t="s">
        <v>96</v>
      </c>
      <c r="K520" s="170" t="s">
        <v>345</v>
      </c>
      <c r="L520" s="170" t="s">
        <v>113</v>
      </c>
      <c r="M520" s="75"/>
      <c r="N520" s="75"/>
      <c r="O520" s="75"/>
    </row>
    <row r="521" spans="1:15" ht="15.6">
      <c r="A521" s="457">
        <v>46095</v>
      </c>
      <c r="B521" s="242" t="s">
        <v>1031</v>
      </c>
      <c r="C521" s="170" t="s">
        <v>337</v>
      </c>
      <c r="D521" s="242" t="s">
        <v>259</v>
      </c>
      <c r="E521" s="242">
        <v>500</v>
      </c>
      <c r="F521" s="454">
        <f t="shared" si="8"/>
        <v>0.93386376795353099</v>
      </c>
      <c r="G521" s="239">
        <v>535.41</v>
      </c>
      <c r="H521" s="242" t="s">
        <v>131</v>
      </c>
      <c r="I521" s="242" t="s">
        <v>653</v>
      </c>
      <c r="J521" s="170" t="s">
        <v>96</v>
      </c>
      <c r="K521" s="170" t="s">
        <v>345</v>
      </c>
      <c r="L521" s="170" t="s">
        <v>113</v>
      </c>
      <c r="M521" s="75"/>
      <c r="N521" s="75"/>
      <c r="O521" s="75"/>
    </row>
    <row r="522" spans="1:15" ht="15.6">
      <c r="A522" s="457">
        <v>46095</v>
      </c>
      <c r="B522" s="242" t="s">
        <v>1036</v>
      </c>
      <c r="C522" s="242" t="s">
        <v>647</v>
      </c>
      <c r="D522" s="242" t="s">
        <v>259</v>
      </c>
      <c r="E522" s="242">
        <v>2000</v>
      </c>
      <c r="F522" s="454">
        <f t="shared" si="8"/>
        <v>3.735455071814124</v>
      </c>
      <c r="G522" s="239">
        <v>535.41</v>
      </c>
      <c r="H522" s="242" t="s">
        <v>131</v>
      </c>
      <c r="I522" s="242" t="s">
        <v>658</v>
      </c>
      <c r="J522" s="170" t="s">
        <v>96</v>
      </c>
      <c r="K522" s="170" t="s">
        <v>345</v>
      </c>
      <c r="L522" s="170" t="s">
        <v>113</v>
      </c>
      <c r="M522" s="75"/>
      <c r="N522" s="75"/>
      <c r="O522" s="75"/>
    </row>
    <row r="523" spans="1:15" ht="15.6">
      <c r="A523" s="457">
        <v>46095</v>
      </c>
      <c r="B523" s="242" t="s">
        <v>1027</v>
      </c>
      <c r="C523" s="170" t="s">
        <v>337</v>
      </c>
      <c r="D523" s="242" t="s">
        <v>259</v>
      </c>
      <c r="E523" s="242">
        <v>500</v>
      </c>
      <c r="F523" s="454">
        <f t="shared" si="8"/>
        <v>0.93386376795353099</v>
      </c>
      <c r="G523" s="239">
        <v>535.41</v>
      </c>
      <c r="H523" s="242" t="s">
        <v>131</v>
      </c>
      <c r="I523" s="242" t="s">
        <v>653</v>
      </c>
      <c r="J523" s="170" t="s">
        <v>96</v>
      </c>
      <c r="K523" s="170" t="s">
        <v>345</v>
      </c>
      <c r="L523" s="170" t="s">
        <v>113</v>
      </c>
      <c r="M523" s="75"/>
      <c r="N523" s="75"/>
      <c r="O523" s="75"/>
    </row>
    <row r="524" spans="1:15" ht="15.6">
      <c r="A524" s="457">
        <v>46096</v>
      </c>
      <c r="B524" s="242" t="s">
        <v>1027</v>
      </c>
      <c r="C524" s="170" t="s">
        <v>337</v>
      </c>
      <c r="D524" s="242" t="s">
        <v>259</v>
      </c>
      <c r="E524" s="242">
        <v>500</v>
      </c>
      <c r="F524" s="454">
        <f t="shared" si="8"/>
        <v>0.93386376795353099</v>
      </c>
      <c r="G524" s="239">
        <v>535.41</v>
      </c>
      <c r="H524" s="242" t="s">
        <v>131</v>
      </c>
      <c r="I524" s="242" t="s">
        <v>653</v>
      </c>
      <c r="J524" s="170" t="s">
        <v>96</v>
      </c>
      <c r="K524" s="170" t="s">
        <v>345</v>
      </c>
      <c r="L524" s="170" t="s">
        <v>113</v>
      </c>
      <c r="M524" s="75"/>
      <c r="N524" s="75"/>
      <c r="O524" s="75"/>
    </row>
    <row r="525" spans="1:15" ht="15.6">
      <c r="A525" s="457">
        <v>46096</v>
      </c>
      <c r="B525" s="242" t="s">
        <v>1027</v>
      </c>
      <c r="C525" s="170" t="s">
        <v>337</v>
      </c>
      <c r="D525" s="242" t="s">
        <v>259</v>
      </c>
      <c r="E525" s="242">
        <v>500</v>
      </c>
      <c r="F525" s="454">
        <f t="shared" si="8"/>
        <v>0.93386376795353099</v>
      </c>
      <c r="G525" s="239">
        <v>535.41</v>
      </c>
      <c r="H525" s="242" t="s">
        <v>131</v>
      </c>
      <c r="I525" s="242" t="s">
        <v>653</v>
      </c>
      <c r="J525" s="170" t="s">
        <v>96</v>
      </c>
      <c r="K525" s="170" t="s">
        <v>345</v>
      </c>
      <c r="L525" s="170" t="s">
        <v>113</v>
      </c>
      <c r="M525" s="75"/>
      <c r="N525" s="75"/>
      <c r="O525" s="75"/>
    </row>
    <row r="526" spans="1:15" ht="15.6">
      <c r="A526" s="457">
        <v>46096</v>
      </c>
      <c r="B526" s="242" t="s">
        <v>1057</v>
      </c>
      <c r="C526" s="242" t="s">
        <v>647</v>
      </c>
      <c r="D526" s="242" t="s">
        <v>259</v>
      </c>
      <c r="E526" s="242">
        <v>2000</v>
      </c>
      <c r="F526" s="454">
        <f t="shared" si="8"/>
        <v>3.735455071814124</v>
      </c>
      <c r="G526" s="239">
        <v>535.41</v>
      </c>
      <c r="H526" s="242" t="s">
        <v>131</v>
      </c>
      <c r="I526" s="242" t="s">
        <v>658</v>
      </c>
      <c r="J526" s="170" t="s">
        <v>96</v>
      </c>
      <c r="K526" s="170" t="s">
        <v>345</v>
      </c>
      <c r="L526" s="170" t="s">
        <v>113</v>
      </c>
      <c r="M526" s="75"/>
      <c r="N526" s="75"/>
      <c r="O526" s="75"/>
    </row>
    <row r="527" spans="1:15" ht="15.6">
      <c r="A527" s="457">
        <v>46096</v>
      </c>
      <c r="B527" s="242" t="s">
        <v>1027</v>
      </c>
      <c r="C527" s="170" t="s">
        <v>337</v>
      </c>
      <c r="D527" s="242" t="s">
        <v>259</v>
      </c>
      <c r="E527" s="242">
        <v>500</v>
      </c>
      <c r="F527" s="454">
        <f t="shared" si="8"/>
        <v>0.93386376795353099</v>
      </c>
      <c r="G527" s="239">
        <v>535.41</v>
      </c>
      <c r="H527" s="242" t="s">
        <v>131</v>
      </c>
      <c r="I527" s="242" t="s">
        <v>653</v>
      </c>
      <c r="J527" s="170" t="s">
        <v>96</v>
      </c>
      <c r="K527" s="170" t="s">
        <v>345</v>
      </c>
      <c r="L527" s="170" t="s">
        <v>113</v>
      </c>
      <c r="M527" s="75"/>
      <c r="N527" s="75"/>
      <c r="O527" s="75"/>
    </row>
    <row r="528" spans="1:15" ht="15.6">
      <c r="A528" s="457">
        <v>46096</v>
      </c>
      <c r="B528" s="242" t="s">
        <v>1027</v>
      </c>
      <c r="C528" s="170" t="s">
        <v>337</v>
      </c>
      <c r="D528" s="242" t="s">
        <v>259</v>
      </c>
      <c r="E528" s="242">
        <v>500</v>
      </c>
      <c r="F528" s="454">
        <f t="shared" si="8"/>
        <v>0.93386376795353099</v>
      </c>
      <c r="G528" s="239">
        <v>535.41</v>
      </c>
      <c r="H528" s="242" t="s">
        <v>131</v>
      </c>
      <c r="I528" s="242" t="s">
        <v>653</v>
      </c>
      <c r="J528" s="170" t="s">
        <v>96</v>
      </c>
      <c r="K528" s="170" t="s">
        <v>345</v>
      </c>
      <c r="L528" s="170" t="s">
        <v>113</v>
      </c>
      <c r="M528" s="75"/>
      <c r="N528" s="75"/>
      <c r="O528" s="75"/>
    </row>
    <row r="529" spans="1:15" ht="15.6">
      <c r="A529" s="457">
        <v>46097</v>
      </c>
      <c r="B529" s="242" t="s">
        <v>186</v>
      </c>
      <c r="C529" s="170" t="s">
        <v>337</v>
      </c>
      <c r="D529" s="458" t="s">
        <v>99</v>
      </c>
      <c r="E529" s="242">
        <v>1000</v>
      </c>
      <c r="F529" s="454">
        <f t="shared" si="8"/>
        <v>1.8677282335885521</v>
      </c>
      <c r="G529" s="239">
        <v>535.40980000000002</v>
      </c>
      <c r="H529" s="459" t="s">
        <v>111</v>
      </c>
      <c r="I529" s="170" t="s">
        <v>380</v>
      </c>
      <c r="J529" s="170" t="s">
        <v>96</v>
      </c>
      <c r="K529" s="170" t="s">
        <v>345</v>
      </c>
      <c r="L529" s="170" t="s">
        <v>113</v>
      </c>
      <c r="M529" s="364"/>
      <c r="N529" s="364"/>
      <c r="O529" s="75"/>
    </row>
    <row r="530" spans="1:15" ht="15.6">
      <c r="A530" s="457">
        <v>46097</v>
      </c>
      <c r="B530" s="242" t="s">
        <v>366</v>
      </c>
      <c r="C530" s="170" t="s">
        <v>337</v>
      </c>
      <c r="D530" s="458" t="s">
        <v>99</v>
      </c>
      <c r="E530" s="242">
        <v>1000</v>
      </c>
      <c r="F530" s="454">
        <f t="shared" si="8"/>
        <v>1.8677282335885521</v>
      </c>
      <c r="G530" s="239">
        <v>535.40980000000002</v>
      </c>
      <c r="H530" s="459" t="s">
        <v>111</v>
      </c>
      <c r="I530" s="170" t="s">
        <v>380</v>
      </c>
      <c r="J530" s="170" t="s">
        <v>96</v>
      </c>
      <c r="K530" s="170" t="s">
        <v>345</v>
      </c>
      <c r="L530" s="170" t="s">
        <v>113</v>
      </c>
      <c r="M530" s="364"/>
      <c r="N530" s="364"/>
      <c r="O530" s="75"/>
    </row>
    <row r="531" spans="1:15" ht="15.6">
      <c r="A531" s="457">
        <v>46097</v>
      </c>
      <c r="B531" s="242" t="s">
        <v>367</v>
      </c>
      <c r="C531" s="170" t="s">
        <v>337</v>
      </c>
      <c r="D531" s="458" t="s">
        <v>99</v>
      </c>
      <c r="E531" s="242">
        <v>1000</v>
      </c>
      <c r="F531" s="454">
        <f t="shared" si="8"/>
        <v>1.8677282335885521</v>
      </c>
      <c r="G531" s="239">
        <v>535.40980000000002</v>
      </c>
      <c r="H531" s="459" t="s">
        <v>111</v>
      </c>
      <c r="I531" s="170" t="s">
        <v>380</v>
      </c>
      <c r="J531" s="170" t="s">
        <v>96</v>
      </c>
      <c r="K531" s="170" t="s">
        <v>345</v>
      </c>
      <c r="L531" s="170" t="s">
        <v>113</v>
      </c>
      <c r="M531" s="364"/>
      <c r="N531" s="364"/>
      <c r="O531" s="75"/>
    </row>
    <row r="532" spans="1:15" ht="15.6">
      <c r="A532" s="457">
        <v>46097</v>
      </c>
      <c r="B532" s="242" t="s">
        <v>187</v>
      </c>
      <c r="C532" s="170" t="s">
        <v>337</v>
      </c>
      <c r="D532" s="458" t="s">
        <v>99</v>
      </c>
      <c r="E532" s="242">
        <v>1000</v>
      </c>
      <c r="F532" s="454">
        <f t="shared" si="8"/>
        <v>1.8677282335885521</v>
      </c>
      <c r="G532" s="239">
        <v>535.40980000000002</v>
      </c>
      <c r="H532" s="459" t="s">
        <v>111</v>
      </c>
      <c r="I532" s="170" t="s">
        <v>380</v>
      </c>
      <c r="J532" s="170" t="s">
        <v>96</v>
      </c>
      <c r="K532" s="170" t="s">
        <v>345</v>
      </c>
      <c r="L532" s="170" t="s">
        <v>113</v>
      </c>
      <c r="M532" s="364"/>
      <c r="N532" s="364"/>
      <c r="O532" s="75"/>
    </row>
    <row r="533" spans="1:15" ht="15.6">
      <c r="A533" s="428">
        <v>46097</v>
      </c>
      <c r="B533" s="429" t="s">
        <v>1028</v>
      </c>
      <c r="C533" s="242" t="s">
        <v>402</v>
      </c>
      <c r="D533" s="429" t="s">
        <v>259</v>
      </c>
      <c r="E533" s="429">
        <v>2000</v>
      </c>
      <c r="F533" s="454">
        <f t="shared" si="8"/>
        <v>3.735455071814124</v>
      </c>
      <c r="G533" s="239">
        <v>535.41</v>
      </c>
      <c r="H533" s="429" t="s">
        <v>123</v>
      </c>
      <c r="I533" s="429" t="s">
        <v>561</v>
      </c>
      <c r="J533" s="170" t="s">
        <v>96</v>
      </c>
      <c r="K533" s="170" t="s">
        <v>345</v>
      </c>
      <c r="L533" s="170" t="s">
        <v>113</v>
      </c>
      <c r="M533" s="75"/>
      <c r="N533" s="75"/>
      <c r="O533" s="75"/>
    </row>
    <row r="534" spans="1:15" ht="15.6">
      <c r="A534" s="428">
        <v>46097</v>
      </c>
      <c r="B534" s="429" t="s">
        <v>1043</v>
      </c>
      <c r="C534" s="242" t="s">
        <v>402</v>
      </c>
      <c r="D534" s="429" t="s">
        <v>259</v>
      </c>
      <c r="E534" s="429">
        <v>2000</v>
      </c>
      <c r="F534" s="454">
        <f t="shared" si="8"/>
        <v>3.735455071814124</v>
      </c>
      <c r="G534" s="239">
        <v>535.41</v>
      </c>
      <c r="H534" s="429" t="s">
        <v>123</v>
      </c>
      <c r="I534" s="429" t="s">
        <v>562</v>
      </c>
      <c r="J534" s="170" t="s">
        <v>96</v>
      </c>
      <c r="K534" s="170" t="s">
        <v>345</v>
      </c>
      <c r="L534" s="170" t="s">
        <v>113</v>
      </c>
      <c r="M534" s="75"/>
      <c r="N534" s="75"/>
      <c r="O534" s="75"/>
    </row>
    <row r="535" spans="1:15" ht="15.6">
      <c r="A535" s="428">
        <v>46097</v>
      </c>
      <c r="B535" s="429" t="s">
        <v>1033</v>
      </c>
      <c r="C535" s="170" t="s">
        <v>337</v>
      </c>
      <c r="D535" s="429" t="s">
        <v>259</v>
      </c>
      <c r="E535" s="429">
        <v>500</v>
      </c>
      <c r="F535" s="454">
        <f t="shared" si="8"/>
        <v>0.93386376795353099</v>
      </c>
      <c r="G535" s="239">
        <v>535.41</v>
      </c>
      <c r="H535" s="429" t="s">
        <v>123</v>
      </c>
      <c r="I535" s="429" t="s">
        <v>550</v>
      </c>
      <c r="J535" s="170" t="s">
        <v>96</v>
      </c>
      <c r="K535" s="170" t="s">
        <v>345</v>
      </c>
      <c r="L535" s="170" t="s">
        <v>113</v>
      </c>
      <c r="M535" s="75"/>
      <c r="N535" s="75"/>
      <c r="O535" s="75"/>
    </row>
    <row r="536" spans="1:15" ht="15.6">
      <c r="A536" s="428">
        <v>46097</v>
      </c>
      <c r="B536" s="429" t="s">
        <v>1052</v>
      </c>
      <c r="C536" s="170" t="s">
        <v>337</v>
      </c>
      <c r="D536" s="429" t="s">
        <v>259</v>
      </c>
      <c r="E536" s="429">
        <v>500</v>
      </c>
      <c r="F536" s="454">
        <f t="shared" si="8"/>
        <v>0.93386376795353099</v>
      </c>
      <c r="G536" s="239">
        <v>535.41</v>
      </c>
      <c r="H536" s="429" t="s">
        <v>123</v>
      </c>
      <c r="I536" s="429" t="s">
        <v>550</v>
      </c>
      <c r="J536" s="170" t="s">
        <v>96</v>
      </c>
      <c r="K536" s="170" t="s">
        <v>345</v>
      </c>
      <c r="L536" s="170" t="s">
        <v>113</v>
      </c>
      <c r="M536" s="75"/>
      <c r="N536" s="75"/>
      <c r="O536" s="75"/>
    </row>
    <row r="537" spans="1:15" ht="15.6">
      <c r="A537" s="428">
        <v>46097</v>
      </c>
      <c r="B537" s="429" t="s">
        <v>1052</v>
      </c>
      <c r="C537" s="170" t="s">
        <v>337</v>
      </c>
      <c r="D537" s="429" t="s">
        <v>259</v>
      </c>
      <c r="E537" s="429">
        <v>500</v>
      </c>
      <c r="F537" s="454">
        <f t="shared" si="8"/>
        <v>0.93386376795353099</v>
      </c>
      <c r="G537" s="239">
        <v>535.41</v>
      </c>
      <c r="H537" s="429" t="s">
        <v>123</v>
      </c>
      <c r="I537" s="429" t="s">
        <v>550</v>
      </c>
      <c r="J537" s="170" t="s">
        <v>96</v>
      </c>
      <c r="K537" s="170" t="s">
        <v>345</v>
      </c>
      <c r="L537" s="170" t="s">
        <v>113</v>
      </c>
      <c r="M537" s="75"/>
      <c r="N537" s="75"/>
      <c r="O537" s="75"/>
    </row>
    <row r="538" spans="1:15" ht="15.6">
      <c r="A538" s="428">
        <v>46097</v>
      </c>
      <c r="B538" s="429" t="s">
        <v>1053</v>
      </c>
      <c r="C538" s="170" t="s">
        <v>337</v>
      </c>
      <c r="D538" s="429" t="s">
        <v>259</v>
      </c>
      <c r="E538" s="429">
        <v>500</v>
      </c>
      <c r="F538" s="454">
        <f t="shared" si="8"/>
        <v>0.93386376795353099</v>
      </c>
      <c r="G538" s="239">
        <v>535.41</v>
      </c>
      <c r="H538" s="429" t="s">
        <v>123</v>
      </c>
      <c r="I538" s="429" t="s">
        <v>550</v>
      </c>
      <c r="J538" s="170" t="s">
        <v>96</v>
      </c>
      <c r="K538" s="170" t="s">
        <v>345</v>
      </c>
      <c r="L538" s="170" t="s">
        <v>113</v>
      </c>
      <c r="M538" s="75"/>
      <c r="N538" s="75"/>
      <c r="O538" s="75"/>
    </row>
    <row r="539" spans="1:15" ht="15.6">
      <c r="A539" s="428">
        <v>46097</v>
      </c>
      <c r="B539" s="429" t="s">
        <v>1033</v>
      </c>
      <c r="C539" s="170" t="s">
        <v>337</v>
      </c>
      <c r="D539" s="429" t="s">
        <v>259</v>
      </c>
      <c r="E539" s="429">
        <v>500</v>
      </c>
      <c r="F539" s="454">
        <f t="shared" si="8"/>
        <v>0.93386376795353099</v>
      </c>
      <c r="G539" s="239">
        <v>535.41</v>
      </c>
      <c r="H539" s="429" t="s">
        <v>123</v>
      </c>
      <c r="I539" s="429" t="s">
        <v>550</v>
      </c>
      <c r="J539" s="170" t="s">
        <v>96</v>
      </c>
      <c r="K539" s="170" t="s">
        <v>345</v>
      </c>
      <c r="L539" s="170" t="s">
        <v>113</v>
      </c>
      <c r="M539" s="75"/>
      <c r="N539" s="75"/>
      <c r="O539" s="75"/>
    </row>
    <row r="540" spans="1:15" ht="15.6">
      <c r="A540" s="428">
        <v>46097</v>
      </c>
      <c r="B540" s="429" t="s">
        <v>540</v>
      </c>
      <c r="C540" s="429" t="s">
        <v>541</v>
      </c>
      <c r="D540" s="429" t="s">
        <v>259</v>
      </c>
      <c r="E540" s="429">
        <v>1000</v>
      </c>
      <c r="F540" s="454">
        <f t="shared" si="8"/>
        <v>1.867727535907062</v>
      </c>
      <c r="G540" s="239">
        <v>535.41</v>
      </c>
      <c r="H540" s="429" t="s">
        <v>123</v>
      </c>
      <c r="I540" s="429" t="s">
        <v>551</v>
      </c>
      <c r="J540" s="170" t="s">
        <v>96</v>
      </c>
      <c r="K540" s="170" t="s">
        <v>345</v>
      </c>
      <c r="L540" s="170" t="s">
        <v>113</v>
      </c>
      <c r="M540" s="75"/>
      <c r="N540" s="75"/>
      <c r="O540" s="75"/>
    </row>
    <row r="541" spans="1:15" ht="15.6">
      <c r="A541" s="457">
        <v>46097</v>
      </c>
      <c r="B541" s="242" t="s">
        <v>1027</v>
      </c>
      <c r="C541" s="242" t="s">
        <v>402</v>
      </c>
      <c r="D541" s="242" t="s">
        <v>259</v>
      </c>
      <c r="E541" s="242">
        <v>6000</v>
      </c>
      <c r="F541" s="454">
        <f t="shared" si="8"/>
        <v>11.206365215442371</v>
      </c>
      <c r="G541" s="239">
        <v>535.41</v>
      </c>
      <c r="H541" s="242" t="s">
        <v>122</v>
      </c>
      <c r="I541" s="242" t="s">
        <v>613</v>
      </c>
      <c r="J541" s="170" t="s">
        <v>96</v>
      </c>
      <c r="K541" s="170" t="s">
        <v>345</v>
      </c>
      <c r="L541" s="170" t="s">
        <v>113</v>
      </c>
      <c r="M541" s="75"/>
      <c r="N541" s="75"/>
      <c r="O541" s="75"/>
    </row>
    <row r="542" spans="1:15" ht="15.6">
      <c r="A542" s="457">
        <v>46097</v>
      </c>
      <c r="B542" s="242" t="s">
        <v>1027</v>
      </c>
      <c r="C542" s="242" t="s">
        <v>402</v>
      </c>
      <c r="D542" s="242" t="s">
        <v>259</v>
      </c>
      <c r="E542" s="242">
        <v>4000</v>
      </c>
      <c r="F542" s="454">
        <f t="shared" si="8"/>
        <v>7.4709101436282479</v>
      </c>
      <c r="G542" s="239">
        <v>535.41</v>
      </c>
      <c r="H542" s="242" t="s">
        <v>122</v>
      </c>
      <c r="I542" s="242" t="s">
        <v>614</v>
      </c>
      <c r="J542" s="170" t="s">
        <v>96</v>
      </c>
      <c r="K542" s="170" t="s">
        <v>345</v>
      </c>
      <c r="L542" s="170" t="s">
        <v>113</v>
      </c>
      <c r="M542" s="75"/>
      <c r="N542" s="75"/>
      <c r="O542" s="75"/>
    </row>
    <row r="543" spans="1:15" ht="15.6">
      <c r="A543" s="453">
        <v>46097</v>
      </c>
      <c r="B543" s="170" t="s">
        <v>1031</v>
      </c>
      <c r="C543" s="242" t="s">
        <v>402</v>
      </c>
      <c r="D543" s="170" t="s">
        <v>259</v>
      </c>
      <c r="E543" s="170">
        <v>4000</v>
      </c>
      <c r="F543" s="454">
        <f t="shared" ref="F543:F606" si="9">E543/G543</f>
        <v>7.4709101436282479</v>
      </c>
      <c r="G543" s="239">
        <v>535.41</v>
      </c>
      <c r="H543" s="170" t="s">
        <v>122</v>
      </c>
      <c r="I543" s="242" t="s">
        <v>615</v>
      </c>
      <c r="J543" s="170" t="s">
        <v>96</v>
      </c>
      <c r="K543" s="170" t="s">
        <v>345</v>
      </c>
      <c r="L543" s="170" t="s">
        <v>113</v>
      </c>
      <c r="M543" s="75"/>
      <c r="N543" s="75"/>
      <c r="O543" s="75"/>
    </row>
    <row r="544" spans="1:15" ht="15.6">
      <c r="A544" s="457">
        <v>46097</v>
      </c>
      <c r="B544" s="242" t="s">
        <v>1058</v>
      </c>
      <c r="C544" s="242" t="s">
        <v>541</v>
      </c>
      <c r="D544" s="242" t="s">
        <v>259</v>
      </c>
      <c r="E544" s="242">
        <v>4500</v>
      </c>
      <c r="F544" s="454">
        <f t="shared" si="9"/>
        <v>8.4047739115817794</v>
      </c>
      <c r="G544" s="239">
        <v>535.41</v>
      </c>
      <c r="H544" s="242" t="s">
        <v>122</v>
      </c>
      <c r="I544" s="242" t="s">
        <v>596</v>
      </c>
      <c r="J544" s="170" t="s">
        <v>96</v>
      </c>
      <c r="K544" s="170" t="s">
        <v>345</v>
      </c>
      <c r="L544" s="170" t="s">
        <v>113</v>
      </c>
      <c r="M544" s="75"/>
      <c r="N544" s="75"/>
      <c r="O544" s="75"/>
    </row>
    <row r="545" spans="1:15" ht="15.6">
      <c r="A545" s="457">
        <v>46097</v>
      </c>
      <c r="B545" s="242" t="s">
        <v>1031</v>
      </c>
      <c r="C545" s="170" t="s">
        <v>337</v>
      </c>
      <c r="D545" s="242" t="s">
        <v>259</v>
      </c>
      <c r="E545" s="242">
        <v>500</v>
      </c>
      <c r="F545" s="454">
        <f t="shared" si="9"/>
        <v>0.93386376795353099</v>
      </c>
      <c r="G545" s="239">
        <v>535.41</v>
      </c>
      <c r="H545" s="242" t="s">
        <v>122</v>
      </c>
      <c r="I545" s="242" t="s">
        <v>594</v>
      </c>
      <c r="J545" s="170" t="s">
        <v>96</v>
      </c>
      <c r="K545" s="170" t="s">
        <v>345</v>
      </c>
      <c r="L545" s="170" t="s">
        <v>113</v>
      </c>
      <c r="M545" s="75"/>
      <c r="N545" s="75"/>
      <c r="O545" s="75"/>
    </row>
    <row r="546" spans="1:15" ht="15.6">
      <c r="A546" s="453">
        <v>46097</v>
      </c>
      <c r="B546" s="170" t="s">
        <v>1040</v>
      </c>
      <c r="C546" s="242" t="s">
        <v>402</v>
      </c>
      <c r="D546" s="170" t="s">
        <v>259</v>
      </c>
      <c r="E546" s="170">
        <v>10000</v>
      </c>
      <c r="F546" s="454">
        <f t="shared" si="9"/>
        <v>18.67727535907062</v>
      </c>
      <c r="G546" s="239">
        <v>535.41</v>
      </c>
      <c r="H546" s="170" t="s">
        <v>122</v>
      </c>
      <c r="I546" s="242" t="s">
        <v>616</v>
      </c>
      <c r="J546" s="170" t="s">
        <v>96</v>
      </c>
      <c r="K546" s="170" t="s">
        <v>345</v>
      </c>
      <c r="L546" s="170" t="s">
        <v>113</v>
      </c>
      <c r="M546" s="75"/>
      <c r="N546" s="75"/>
      <c r="O546" s="75"/>
    </row>
    <row r="547" spans="1:15" ht="15.6">
      <c r="A547" s="457">
        <v>46097</v>
      </c>
      <c r="B547" s="170" t="s">
        <v>1034</v>
      </c>
      <c r="C547" s="242" t="s">
        <v>406</v>
      </c>
      <c r="D547" s="242" t="s">
        <v>259</v>
      </c>
      <c r="E547" s="242">
        <v>30000</v>
      </c>
      <c r="F547" s="454">
        <f t="shared" si="9"/>
        <v>56.031826077211861</v>
      </c>
      <c r="G547" s="239">
        <v>535.41</v>
      </c>
      <c r="H547" s="242" t="s">
        <v>122</v>
      </c>
      <c r="I547" s="242" t="s">
        <v>617</v>
      </c>
      <c r="J547" s="170" t="s">
        <v>96</v>
      </c>
      <c r="K547" s="170" t="s">
        <v>345</v>
      </c>
      <c r="L547" s="170" t="s">
        <v>113</v>
      </c>
      <c r="M547" s="75"/>
      <c r="N547" s="75"/>
      <c r="O547" s="75"/>
    </row>
    <row r="548" spans="1:15" ht="15.6">
      <c r="A548" s="453">
        <v>46097</v>
      </c>
      <c r="B548" s="170" t="s">
        <v>1055</v>
      </c>
      <c r="C548" s="170" t="s">
        <v>542</v>
      </c>
      <c r="D548" s="170" t="s">
        <v>259</v>
      </c>
      <c r="E548" s="170">
        <v>30000</v>
      </c>
      <c r="F548" s="454">
        <f t="shared" si="9"/>
        <v>56.031826077211861</v>
      </c>
      <c r="G548" s="239">
        <v>535.41</v>
      </c>
      <c r="H548" s="170" t="s">
        <v>131</v>
      </c>
      <c r="I548" s="170" t="s">
        <v>671</v>
      </c>
      <c r="J548" s="170" t="s">
        <v>96</v>
      </c>
      <c r="K548" s="170" t="s">
        <v>345</v>
      </c>
      <c r="L548" s="170" t="s">
        <v>113</v>
      </c>
      <c r="M548" s="75"/>
      <c r="N548" s="75"/>
      <c r="O548" s="75"/>
    </row>
    <row r="549" spans="1:15" ht="15.6">
      <c r="A549" s="457">
        <v>46097</v>
      </c>
      <c r="B549" s="242" t="s">
        <v>1027</v>
      </c>
      <c r="C549" s="170" t="s">
        <v>337</v>
      </c>
      <c r="D549" s="242" t="s">
        <v>259</v>
      </c>
      <c r="E549" s="242">
        <v>500</v>
      </c>
      <c r="F549" s="454">
        <f t="shared" si="9"/>
        <v>0.93386376795353099</v>
      </c>
      <c r="G549" s="239">
        <v>535.41</v>
      </c>
      <c r="H549" s="242" t="s">
        <v>131</v>
      </c>
      <c r="I549" s="242" t="s">
        <v>653</v>
      </c>
      <c r="J549" s="170" t="s">
        <v>96</v>
      </c>
      <c r="K549" s="170" t="s">
        <v>345</v>
      </c>
      <c r="L549" s="170" t="s">
        <v>113</v>
      </c>
      <c r="M549" s="75"/>
      <c r="N549" s="75"/>
      <c r="O549" s="75"/>
    </row>
    <row r="550" spans="1:15" ht="15.6">
      <c r="A550" s="453">
        <v>46097</v>
      </c>
      <c r="B550" s="170" t="s">
        <v>1028</v>
      </c>
      <c r="C550" s="242" t="s">
        <v>402</v>
      </c>
      <c r="D550" s="170" t="s">
        <v>259</v>
      </c>
      <c r="E550" s="170">
        <v>9000</v>
      </c>
      <c r="F550" s="454">
        <f t="shared" si="9"/>
        <v>16.809547823163559</v>
      </c>
      <c r="G550" s="239">
        <v>535.41</v>
      </c>
      <c r="H550" s="170" t="s">
        <v>131</v>
      </c>
      <c r="I550" s="170" t="s">
        <v>672</v>
      </c>
      <c r="J550" s="170" t="s">
        <v>96</v>
      </c>
      <c r="K550" s="170" t="s">
        <v>345</v>
      </c>
      <c r="L550" s="170" t="s">
        <v>113</v>
      </c>
      <c r="M550" s="75"/>
      <c r="N550" s="75"/>
      <c r="O550" s="75"/>
    </row>
    <row r="551" spans="1:15" ht="15.6">
      <c r="A551" s="453">
        <v>46097</v>
      </c>
      <c r="B551" s="170" t="s">
        <v>1028</v>
      </c>
      <c r="C551" s="242" t="s">
        <v>402</v>
      </c>
      <c r="D551" s="170" t="s">
        <v>259</v>
      </c>
      <c r="E551" s="170">
        <v>4000</v>
      </c>
      <c r="F551" s="454">
        <f t="shared" si="9"/>
        <v>7.4709101436282479</v>
      </c>
      <c r="G551" s="239">
        <v>535.41</v>
      </c>
      <c r="H551" s="170" t="s">
        <v>131</v>
      </c>
      <c r="I551" s="170" t="s">
        <v>673</v>
      </c>
      <c r="J551" s="170" t="s">
        <v>96</v>
      </c>
      <c r="K551" s="170" t="s">
        <v>345</v>
      </c>
      <c r="L551" s="170" t="s">
        <v>113</v>
      </c>
      <c r="M551" s="75"/>
      <c r="N551" s="75"/>
      <c r="O551" s="75"/>
    </row>
    <row r="552" spans="1:15" ht="15.6">
      <c r="A552" s="457">
        <v>46097</v>
      </c>
      <c r="B552" s="242" t="s">
        <v>1027</v>
      </c>
      <c r="C552" s="170" t="s">
        <v>337</v>
      </c>
      <c r="D552" s="242" t="s">
        <v>259</v>
      </c>
      <c r="E552" s="242">
        <v>1000</v>
      </c>
      <c r="F552" s="454">
        <f t="shared" si="9"/>
        <v>1.867727535907062</v>
      </c>
      <c r="G552" s="239">
        <v>535.41</v>
      </c>
      <c r="H552" s="242" t="s">
        <v>131</v>
      </c>
      <c r="I552" s="242" t="s">
        <v>653</v>
      </c>
      <c r="J552" s="170" t="s">
        <v>96</v>
      </c>
      <c r="K552" s="170" t="s">
        <v>345</v>
      </c>
      <c r="L552" s="170" t="s">
        <v>113</v>
      </c>
      <c r="M552" s="75"/>
      <c r="N552" s="75"/>
      <c r="O552" s="75"/>
    </row>
    <row r="553" spans="1:15" ht="15.6">
      <c r="A553" s="457">
        <v>46097</v>
      </c>
      <c r="B553" s="242" t="s">
        <v>1027</v>
      </c>
      <c r="C553" s="170" t="s">
        <v>337</v>
      </c>
      <c r="D553" s="242" t="s">
        <v>259</v>
      </c>
      <c r="E553" s="242">
        <v>500</v>
      </c>
      <c r="F553" s="454">
        <f t="shared" si="9"/>
        <v>0.93386376795353099</v>
      </c>
      <c r="G553" s="239">
        <v>535.41</v>
      </c>
      <c r="H553" s="242" t="s">
        <v>131</v>
      </c>
      <c r="I553" s="242" t="s">
        <v>653</v>
      </c>
      <c r="J553" s="170" t="s">
        <v>96</v>
      </c>
      <c r="K553" s="170" t="s">
        <v>345</v>
      </c>
      <c r="L553" s="170" t="s">
        <v>113</v>
      </c>
      <c r="M553" s="75"/>
      <c r="N553" s="75"/>
      <c r="O553" s="75"/>
    </row>
    <row r="554" spans="1:15" ht="15.6">
      <c r="A554" s="457">
        <v>46097</v>
      </c>
      <c r="B554" s="242" t="s">
        <v>1027</v>
      </c>
      <c r="C554" s="170" t="s">
        <v>337</v>
      </c>
      <c r="D554" s="242" t="s">
        <v>259</v>
      </c>
      <c r="E554" s="242">
        <v>500</v>
      </c>
      <c r="F554" s="454">
        <f t="shared" si="9"/>
        <v>0.93386376795353099</v>
      </c>
      <c r="G554" s="239">
        <v>535.41</v>
      </c>
      <c r="H554" s="242" t="s">
        <v>131</v>
      </c>
      <c r="I554" s="242" t="s">
        <v>653</v>
      </c>
      <c r="J554" s="170" t="s">
        <v>96</v>
      </c>
      <c r="K554" s="170" t="s">
        <v>345</v>
      </c>
      <c r="L554" s="170" t="s">
        <v>113</v>
      </c>
      <c r="M554" s="75"/>
      <c r="N554" s="75"/>
      <c r="O554" s="75"/>
    </row>
    <row r="555" spans="1:15" ht="15.6">
      <c r="A555" s="457">
        <v>46097</v>
      </c>
      <c r="B555" s="242" t="s">
        <v>768</v>
      </c>
      <c r="C555" s="170" t="s">
        <v>337</v>
      </c>
      <c r="D555" s="469" t="s">
        <v>100</v>
      </c>
      <c r="E555" s="299">
        <v>1000</v>
      </c>
      <c r="F555" s="454">
        <f t="shared" si="9"/>
        <v>1.867727535907062</v>
      </c>
      <c r="G555" s="239">
        <v>535.41</v>
      </c>
      <c r="H555" s="242" t="s">
        <v>129</v>
      </c>
      <c r="I555" s="242" t="s">
        <v>792</v>
      </c>
      <c r="J555" s="170" t="s">
        <v>96</v>
      </c>
      <c r="K555" s="170" t="s">
        <v>345</v>
      </c>
      <c r="L555" s="170" t="s">
        <v>113</v>
      </c>
      <c r="M555" s="75"/>
      <c r="N555" s="75"/>
      <c r="O555" s="75"/>
    </row>
    <row r="556" spans="1:15" ht="15.6">
      <c r="A556" s="457">
        <v>46097</v>
      </c>
      <c r="B556" s="242" t="s">
        <v>769</v>
      </c>
      <c r="C556" s="170" t="s">
        <v>337</v>
      </c>
      <c r="D556" s="469" t="s">
        <v>100</v>
      </c>
      <c r="E556" s="299">
        <v>1000</v>
      </c>
      <c r="F556" s="454">
        <f t="shared" si="9"/>
        <v>1.867727535907062</v>
      </c>
      <c r="G556" s="239">
        <v>535.41</v>
      </c>
      <c r="H556" s="242" t="s">
        <v>129</v>
      </c>
      <c r="I556" s="242" t="s">
        <v>792</v>
      </c>
      <c r="J556" s="170" t="s">
        <v>96</v>
      </c>
      <c r="K556" s="170" t="s">
        <v>345</v>
      </c>
      <c r="L556" s="170" t="s">
        <v>113</v>
      </c>
      <c r="M556" s="75"/>
      <c r="N556" s="75"/>
      <c r="O556" s="75"/>
    </row>
    <row r="557" spans="1:15" ht="15.6">
      <c r="A557" s="457">
        <v>46097</v>
      </c>
      <c r="B557" s="242" t="s">
        <v>770</v>
      </c>
      <c r="C557" s="170" t="s">
        <v>337</v>
      </c>
      <c r="D557" s="469" t="s">
        <v>100</v>
      </c>
      <c r="E557" s="299">
        <v>1000</v>
      </c>
      <c r="F557" s="454">
        <f t="shared" si="9"/>
        <v>1.867727535907062</v>
      </c>
      <c r="G557" s="239">
        <v>535.41</v>
      </c>
      <c r="H557" s="242" t="s">
        <v>129</v>
      </c>
      <c r="I557" s="242" t="s">
        <v>792</v>
      </c>
      <c r="J557" s="170" t="s">
        <v>96</v>
      </c>
      <c r="K557" s="170" t="s">
        <v>345</v>
      </c>
      <c r="L557" s="170" t="s">
        <v>113</v>
      </c>
      <c r="M557" s="75"/>
      <c r="N557" s="75"/>
      <c r="O557" s="75"/>
    </row>
    <row r="558" spans="1:15" ht="15.6">
      <c r="A558" s="457">
        <v>46097</v>
      </c>
      <c r="B558" s="242" t="s">
        <v>771</v>
      </c>
      <c r="C558" s="170" t="s">
        <v>337</v>
      </c>
      <c r="D558" s="469" t="s">
        <v>100</v>
      </c>
      <c r="E558" s="299">
        <v>1000</v>
      </c>
      <c r="F558" s="454">
        <f t="shared" si="9"/>
        <v>1.867727535907062</v>
      </c>
      <c r="G558" s="239">
        <v>535.41</v>
      </c>
      <c r="H558" s="242" t="s">
        <v>129</v>
      </c>
      <c r="I558" s="242" t="s">
        <v>792</v>
      </c>
      <c r="J558" s="170" t="s">
        <v>96</v>
      </c>
      <c r="K558" s="170" t="s">
        <v>345</v>
      </c>
      <c r="L558" s="170" t="s">
        <v>113</v>
      </c>
      <c r="M558" s="75"/>
      <c r="N558" s="75"/>
      <c r="O558" s="75"/>
    </row>
    <row r="559" spans="1:15" ht="15.6">
      <c r="A559" s="457">
        <v>46097</v>
      </c>
      <c r="B559" s="242" t="s">
        <v>772</v>
      </c>
      <c r="C559" s="170" t="s">
        <v>337</v>
      </c>
      <c r="D559" s="469" t="s">
        <v>100</v>
      </c>
      <c r="E559" s="299">
        <v>1000</v>
      </c>
      <c r="F559" s="454">
        <f t="shared" si="9"/>
        <v>1.867727535907062</v>
      </c>
      <c r="G559" s="239">
        <v>535.41</v>
      </c>
      <c r="H559" s="242" t="s">
        <v>129</v>
      </c>
      <c r="I559" s="242" t="s">
        <v>792</v>
      </c>
      <c r="J559" s="170" t="s">
        <v>96</v>
      </c>
      <c r="K559" s="170" t="s">
        <v>345</v>
      </c>
      <c r="L559" s="170" t="s">
        <v>113</v>
      </c>
      <c r="M559" s="75"/>
      <c r="N559" s="75"/>
      <c r="O559" s="75"/>
    </row>
    <row r="560" spans="1:15" ht="15.6">
      <c r="A560" s="457">
        <v>46097</v>
      </c>
      <c r="B560" s="242" t="s">
        <v>773</v>
      </c>
      <c r="C560" s="170" t="s">
        <v>337</v>
      </c>
      <c r="D560" s="469" t="s">
        <v>100</v>
      </c>
      <c r="E560" s="299">
        <v>1000</v>
      </c>
      <c r="F560" s="454">
        <f t="shared" si="9"/>
        <v>1.867727535907062</v>
      </c>
      <c r="G560" s="239">
        <v>535.41</v>
      </c>
      <c r="H560" s="242" t="s">
        <v>129</v>
      </c>
      <c r="I560" s="242" t="s">
        <v>792</v>
      </c>
      <c r="J560" s="170" t="s">
        <v>96</v>
      </c>
      <c r="K560" s="170" t="s">
        <v>345</v>
      </c>
      <c r="L560" s="170" t="s">
        <v>113</v>
      </c>
      <c r="M560" s="75"/>
      <c r="N560" s="75"/>
      <c r="O560" s="75"/>
    </row>
    <row r="561" spans="1:15" ht="15.6">
      <c r="A561" s="457">
        <v>46097</v>
      </c>
      <c r="B561" s="242" t="s">
        <v>774</v>
      </c>
      <c r="C561" s="170" t="s">
        <v>337</v>
      </c>
      <c r="D561" s="469" t="s">
        <v>100</v>
      </c>
      <c r="E561" s="299">
        <v>1000</v>
      </c>
      <c r="F561" s="454">
        <f t="shared" si="9"/>
        <v>1.867727535907062</v>
      </c>
      <c r="G561" s="239">
        <v>535.41</v>
      </c>
      <c r="H561" s="242" t="s">
        <v>129</v>
      </c>
      <c r="I561" s="242" t="s">
        <v>792</v>
      </c>
      <c r="J561" s="170" t="s">
        <v>96</v>
      </c>
      <c r="K561" s="170" t="s">
        <v>345</v>
      </c>
      <c r="L561" s="170" t="s">
        <v>113</v>
      </c>
      <c r="M561" s="75"/>
      <c r="N561" s="75"/>
      <c r="O561" s="75"/>
    </row>
    <row r="562" spans="1:15" ht="15.6">
      <c r="A562" s="457">
        <v>46097</v>
      </c>
      <c r="B562" s="242" t="s">
        <v>775</v>
      </c>
      <c r="C562" s="170" t="s">
        <v>337</v>
      </c>
      <c r="D562" s="469" t="s">
        <v>100</v>
      </c>
      <c r="E562" s="299">
        <v>1000</v>
      </c>
      <c r="F562" s="454">
        <f t="shared" si="9"/>
        <v>1.867727535907062</v>
      </c>
      <c r="G562" s="239">
        <v>535.41</v>
      </c>
      <c r="H562" s="242" t="s">
        <v>129</v>
      </c>
      <c r="I562" s="242" t="s">
        <v>792</v>
      </c>
      <c r="J562" s="170" t="s">
        <v>96</v>
      </c>
      <c r="K562" s="170" t="s">
        <v>345</v>
      </c>
      <c r="L562" s="170" t="s">
        <v>113</v>
      </c>
      <c r="M562" s="75"/>
      <c r="N562" s="75"/>
      <c r="O562" s="75"/>
    </row>
    <row r="563" spans="1:15" ht="15.6">
      <c r="A563" s="457">
        <v>46097</v>
      </c>
      <c r="B563" s="242" t="s">
        <v>776</v>
      </c>
      <c r="C563" s="170" t="s">
        <v>337</v>
      </c>
      <c r="D563" s="469" t="s">
        <v>100</v>
      </c>
      <c r="E563" s="299">
        <v>1000</v>
      </c>
      <c r="F563" s="454">
        <f t="shared" si="9"/>
        <v>1.867727535907062</v>
      </c>
      <c r="G563" s="239">
        <v>535.41</v>
      </c>
      <c r="H563" s="242" t="s">
        <v>129</v>
      </c>
      <c r="I563" s="242" t="s">
        <v>792</v>
      </c>
      <c r="J563" s="170" t="s">
        <v>96</v>
      </c>
      <c r="K563" s="170" t="s">
        <v>345</v>
      </c>
      <c r="L563" s="170" t="s">
        <v>113</v>
      </c>
      <c r="M563" s="75"/>
      <c r="N563" s="75"/>
      <c r="O563" s="75"/>
    </row>
    <row r="564" spans="1:15" ht="15.6">
      <c r="A564" s="457">
        <v>46097</v>
      </c>
      <c r="B564" s="242" t="s">
        <v>777</v>
      </c>
      <c r="C564" s="170" t="s">
        <v>337</v>
      </c>
      <c r="D564" s="469" t="s">
        <v>100</v>
      </c>
      <c r="E564" s="299">
        <v>1000</v>
      </c>
      <c r="F564" s="454">
        <f t="shared" si="9"/>
        <v>1.867727535907062</v>
      </c>
      <c r="G564" s="239">
        <v>535.41</v>
      </c>
      <c r="H564" s="242" t="s">
        <v>129</v>
      </c>
      <c r="I564" s="242" t="s">
        <v>792</v>
      </c>
      <c r="J564" s="170" t="s">
        <v>96</v>
      </c>
      <c r="K564" s="170" t="s">
        <v>345</v>
      </c>
      <c r="L564" s="170" t="s">
        <v>113</v>
      </c>
      <c r="M564" s="75"/>
      <c r="N564" s="75"/>
      <c r="O564" s="75"/>
    </row>
    <row r="565" spans="1:15" ht="15.6">
      <c r="A565" s="457">
        <v>46097</v>
      </c>
      <c r="B565" s="242" t="s">
        <v>778</v>
      </c>
      <c r="C565" s="170" t="s">
        <v>337</v>
      </c>
      <c r="D565" s="469" t="s">
        <v>100</v>
      </c>
      <c r="E565" s="299">
        <v>1000</v>
      </c>
      <c r="F565" s="454">
        <f t="shared" si="9"/>
        <v>1.867727535907062</v>
      </c>
      <c r="G565" s="239">
        <v>535.41</v>
      </c>
      <c r="H565" s="242" t="s">
        <v>129</v>
      </c>
      <c r="I565" s="242" t="s">
        <v>792</v>
      </c>
      <c r="J565" s="170" t="s">
        <v>96</v>
      </c>
      <c r="K565" s="170" t="s">
        <v>345</v>
      </c>
      <c r="L565" s="170" t="s">
        <v>113</v>
      </c>
      <c r="M565" s="75"/>
      <c r="N565" s="75"/>
      <c r="O565" s="75"/>
    </row>
    <row r="566" spans="1:15" ht="15.6">
      <c r="A566" s="457">
        <v>46098</v>
      </c>
      <c r="B566" s="242" t="s">
        <v>353</v>
      </c>
      <c r="C566" s="242" t="s">
        <v>104</v>
      </c>
      <c r="D566" s="458" t="s">
        <v>99</v>
      </c>
      <c r="E566" s="460">
        <v>80500</v>
      </c>
      <c r="F566" s="454">
        <f t="shared" si="9"/>
        <v>151.11166315014682</v>
      </c>
      <c r="G566" s="239">
        <v>532.71864210781655</v>
      </c>
      <c r="H566" s="242" t="s">
        <v>111</v>
      </c>
      <c r="I566" s="170" t="s">
        <v>384</v>
      </c>
      <c r="J566" s="170" t="s">
        <v>96</v>
      </c>
      <c r="K566" s="170" t="s">
        <v>345</v>
      </c>
      <c r="L566" s="170" t="s">
        <v>113</v>
      </c>
      <c r="M566" s="361"/>
      <c r="N566" s="361"/>
      <c r="O566" s="271"/>
    </row>
    <row r="567" spans="1:15" ht="15.6">
      <c r="A567" s="457">
        <v>46098</v>
      </c>
      <c r="B567" s="242" t="s">
        <v>354</v>
      </c>
      <c r="C567" s="242" t="s">
        <v>104</v>
      </c>
      <c r="D567" s="458" t="s">
        <v>99</v>
      </c>
      <c r="E567" s="460">
        <v>129464</v>
      </c>
      <c r="F567" s="454">
        <f t="shared" si="9"/>
        <v>243.02509761578398</v>
      </c>
      <c r="G567" s="239">
        <v>532.71864210781655</v>
      </c>
      <c r="H567" s="242" t="s">
        <v>111</v>
      </c>
      <c r="I567" s="170" t="s">
        <v>385</v>
      </c>
      <c r="J567" s="170" t="s">
        <v>96</v>
      </c>
      <c r="K567" s="170" t="s">
        <v>345</v>
      </c>
      <c r="L567" s="170" t="s">
        <v>113</v>
      </c>
      <c r="M567" s="361"/>
      <c r="N567" s="361"/>
      <c r="O567" s="271"/>
    </row>
    <row r="568" spans="1:15" ht="15.6">
      <c r="A568" s="457">
        <v>46098</v>
      </c>
      <c r="B568" s="242" t="s">
        <v>186</v>
      </c>
      <c r="C568" s="170" t="s">
        <v>337</v>
      </c>
      <c r="D568" s="458" t="s">
        <v>99</v>
      </c>
      <c r="E568" s="242">
        <v>1000</v>
      </c>
      <c r="F568" s="454">
        <f t="shared" si="9"/>
        <v>1.8677282335885521</v>
      </c>
      <c r="G568" s="239">
        <v>535.40980000000002</v>
      </c>
      <c r="H568" s="459" t="s">
        <v>111</v>
      </c>
      <c r="I568" s="170" t="s">
        <v>380</v>
      </c>
      <c r="J568" s="170" t="s">
        <v>96</v>
      </c>
      <c r="K568" s="170" t="s">
        <v>345</v>
      </c>
      <c r="L568" s="170" t="s">
        <v>113</v>
      </c>
      <c r="M568" s="364"/>
      <c r="N568" s="364"/>
      <c r="O568" s="75"/>
    </row>
    <row r="569" spans="1:15" ht="15.6">
      <c r="A569" s="457">
        <v>46098</v>
      </c>
      <c r="B569" s="242" t="s">
        <v>192</v>
      </c>
      <c r="C569" s="170" t="s">
        <v>337</v>
      </c>
      <c r="D569" s="458" t="s">
        <v>99</v>
      </c>
      <c r="E569" s="242">
        <v>1000</v>
      </c>
      <c r="F569" s="454">
        <f t="shared" si="9"/>
        <v>1.8677282335885521</v>
      </c>
      <c r="G569" s="239">
        <v>535.40980000000002</v>
      </c>
      <c r="H569" s="459" t="s">
        <v>111</v>
      </c>
      <c r="I569" s="170" t="s">
        <v>380</v>
      </c>
      <c r="J569" s="170" t="s">
        <v>96</v>
      </c>
      <c r="K569" s="170" t="s">
        <v>345</v>
      </c>
      <c r="L569" s="170" t="s">
        <v>113</v>
      </c>
      <c r="M569" s="364"/>
      <c r="N569" s="364"/>
      <c r="O569" s="75"/>
    </row>
    <row r="570" spans="1:15" ht="15.6">
      <c r="A570" s="453">
        <v>46098</v>
      </c>
      <c r="B570" s="242" t="s">
        <v>455</v>
      </c>
      <c r="C570" s="242" t="s">
        <v>130</v>
      </c>
      <c r="D570" s="242" t="s">
        <v>98</v>
      </c>
      <c r="E570" s="460">
        <v>40000</v>
      </c>
      <c r="F570" s="454">
        <f t="shared" si="9"/>
        <v>74.709101436282481</v>
      </c>
      <c r="G570" s="239">
        <v>535.41</v>
      </c>
      <c r="H570" s="242" t="s">
        <v>168</v>
      </c>
      <c r="I570" s="170" t="s">
        <v>517</v>
      </c>
      <c r="J570" s="170" t="s">
        <v>96</v>
      </c>
      <c r="K570" s="170" t="s">
        <v>345</v>
      </c>
      <c r="L570" s="170" t="s">
        <v>113</v>
      </c>
      <c r="M570" s="75"/>
      <c r="N570" s="75"/>
      <c r="O570" s="75"/>
    </row>
    <row r="571" spans="1:15" ht="15.6">
      <c r="A571" s="457">
        <v>46098</v>
      </c>
      <c r="B571" s="242" t="s">
        <v>456</v>
      </c>
      <c r="C571" s="242" t="s">
        <v>103</v>
      </c>
      <c r="D571" s="242" t="s">
        <v>98</v>
      </c>
      <c r="E571" s="460">
        <v>40613</v>
      </c>
      <c r="F571" s="454">
        <f t="shared" si="9"/>
        <v>75.854018415793504</v>
      </c>
      <c r="G571" s="239">
        <v>535.41</v>
      </c>
      <c r="H571" s="242" t="s">
        <v>168</v>
      </c>
      <c r="I571" s="170" t="s">
        <v>518</v>
      </c>
      <c r="J571" s="170" t="s">
        <v>96</v>
      </c>
      <c r="K571" s="170" t="s">
        <v>345</v>
      </c>
      <c r="L571" s="170" t="s">
        <v>113</v>
      </c>
      <c r="M571" s="75"/>
      <c r="N571" s="75"/>
      <c r="O571" s="75"/>
    </row>
    <row r="572" spans="1:15" ht="15.6">
      <c r="A572" s="467">
        <v>46098</v>
      </c>
      <c r="B572" s="242" t="s">
        <v>457</v>
      </c>
      <c r="C572" s="170" t="s">
        <v>337</v>
      </c>
      <c r="D572" s="242" t="s">
        <v>98</v>
      </c>
      <c r="E572" s="298">
        <v>1000</v>
      </c>
      <c r="F572" s="454">
        <f t="shared" si="9"/>
        <v>1.867727535907062</v>
      </c>
      <c r="G572" s="239">
        <v>535.41</v>
      </c>
      <c r="H572" s="242" t="s">
        <v>168</v>
      </c>
      <c r="I572" s="242" t="s">
        <v>510</v>
      </c>
      <c r="J572" s="170" t="s">
        <v>96</v>
      </c>
      <c r="K572" s="170" t="s">
        <v>345</v>
      </c>
      <c r="L572" s="170" t="s">
        <v>113</v>
      </c>
      <c r="M572" s="75"/>
      <c r="N572" s="75"/>
      <c r="O572" s="75"/>
    </row>
    <row r="573" spans="1:15" ht="15.6">
      <c r="A573" s="467">
        <v>46098</v>
      </c>
      <c r="B573" s="242" t="s">
        <v>458</v>
      </c>
      <c r="C573" s="170" t="s">
        <v>337</v>
      </c>
      <c r="D573" s="242" t="s">
        <v>98</v>
      </c>
      <c r="E573" s="298">
        <v>1000</v>
      </c>
      <c r="F573" s="454">
        <f t="shared" si="9"/>
        <v>1.867727535907062</v>
      </c>
      <c r="G573" s="239">
        <v>535.41</v>
      </c>
      <c r="H573" s="242" t="s">
        <v>168</v>
      </c>
      <c r="I573" s="242" t="s">
        <v>510</v>
      </c>
      <c r="J573" s="170" t="s">
        <v>96</v>
      </c>
      <c r="K573" s="170" t="s">
        <v>345</v>
      </c>
      <c r="L573" s="170" t="s">
        <v>113</v>
      </c>
      <c r="M573" s="75"/>
      <c r="N573" s="75"/>
      <c r="O573" s="75"/>
    </row>
    <row r="574" spans="1:15" ht="15.6">
      <c r="A574" s="467">
        <v>46098</v>
      </c>
      <c r="B574" s="242" t="s">
        <v>459</v>
      </c>
      <c r="C574" s="170" t="s">
        <v>337</v>
      </c>
      <c r="D574" s="242" t="s">
        <v>98</v>
      </c>
      <c r="E574" s="298">
        <v>1000</v>
      </c>
      <c r="F574" s="454">
        <f t="shared" si="9"/>
        <v>1.867727535907062</v>
      </c>
      <c r="G574" s="239">
        <v>535.41</v>
      </c>
      <c r="H574" s="242" t="s">
        <v>168</v>
      </c>
      <c r="I574" s="242" t="s">
        <v>510</v>
      </c>
      <c r="J574" s="170" t="s">
        <v>96</v>
      </c>
      <c r="K574" s="170" t="s">
        <v>345</v>
      </c>
      <c r="L574" s="170" t="s">
        <v>113</v>
      </c>
      <c r="M574" s="75"/>
      <c r="N574" s="75"/>
      <c r="O574" s="75"/>
    </row>
    <row r="575" spans="1:15" ht="15.6">
      <c r="A575" s="467">
        <v>46098</v>
      </c>
      <c r="B575" s="242" t="s">
        <v>460</v>
      </c>
      <c r="C575" s="170" t="s">
        <v>337</v>
      </c>
      <c r="D575" s="242" t="s">
        <v>98</v>
      </c>
      <c r="E575" s="298">
        <v>1000</v>
      </c>
      <c r="F575" s="454">
        <f t="shared" si="9"/>
        <v>1.867727535907062</v>
      </c>
      <c r="G575" s="239">
        <v>535.41</v>
      </c>
      <c r="H575" s="242" t="s">
        <v>168</v>
      </c>
      <c r="I575" s="242" t="s">
        <v>510</v>
      </c>
      <c r="J575" s="170" t="s">
        <v>96</v>
      </c>
      <c r="K575" s="170" t="s">
        <v>345</v>
      </c>
      <c r="L575" s="170" t="s">
        <v>113</v>
      </c>
      <c r="M575" s="75"/>
      <c r="N575" s="75"/>
      <c r="O575" s="75"/>
    </row>
    <row r="576" spans="1:15" ht="15.6">
      <c r="A576" s="428">
        <v>46098</v>
      </c>
      <c r="B576" s="429" t="s">
        <v>1051</v>
      </c>
      <c r="C576" s="429" t="s">
        <v>542</v>
      </c>
      <c r="D576" s="429" t="s">
        <v>259</v>
      </c>
      <c r="E576" s="429">
        <v>30000</v>
      </c>
      <c r="F576" s="454">
        <f t="shared" si="9"/>
        <v>56.031826077211861</v>
      </c>
      <c r="G576" s="239">
        <v>535.41</v>
      </c>
      <c r="H576" s="429" t="s">
        <v>123</v>
      </c>
      <c r="I576" s="429" t="s">
        <v>563</v>
      </c>
      <c r="J576" s="170" t="s">
        <v>96</v>
      </c>
      <c r="K576" s="170" t="s">
        <v>345</v>
      </c>
      <c r="L576" s="170" t="s">
        <v>113</v>
      </c>
      <c r="M576" s="75"/>
      <c r="N576" s="75"/>
      <c r="O576" s="75"/>
    </row>
    <row r="577" spans="1:15" ht="15.6">
      <c r="A577" s="428">
        <v>46098</v>
      </c>
      <c r="B577" s="429" t="s">
        <v>1028</v>
      </c>
      <c r="C577" s="242" t="s">
        <v>402</v>
      </c>
      <c r="D577" s="429" t="s">
        <v>259</v>
      </c>
      <c r="E577" s="429">
        <v>9000</v>
      </c>
      <c r="F577" s="454">
        <f t="shared" si="9"/>
        <v>16.809547823163559</v>
      </c>
      <c r="G577" s="239">
        <v>535.41</v>
      </c>
      <c r="H577" s="429" t="s">
        <v>123</v>
      </c>
      <c r="I577" s="429" t="s">
        <v>564</v>
      </c>
      <c r="J577" s="170" t="s">
        <v>96</v>
      </c>
      <c r="K577" s="170" t="s">
        <v>345</v>
      </c>
      <c r="L577" s="170" t="s">
        <v>113</v>
      </c>
      <c r="M577" s="75"/>
      <c r="N577" s="75"/>
      <c r="O577" s="75"/>
    </row>
    <row r="578" spans="1:15" ht="15.6">
      <c r="A578" s="428">
        <v>46098</v>
      </c>
      <c r="B578" s="429" t="s">
        <v>1033</v>
      </c>
      <c r="C578" s="170" t="s">
        <v>337</v>
      </c>
      <c r="D578" s="429" t="s">
        <v>259</v>
      </c>
      <c r="E578" s="429">
        <v>1000</v>
      </c>
      <c r="F578" s="454">
        <f t="shared" si="9"/>
        <v>1.867727535907062</v>
      </c>
      <c r="G578" s="239">
        <v>535.41</v>
      </c>
      <c r="H578" s="429" t="s">
        <v>123</v>
      </c>
      <c r="I578" s="429" t="s">
        <v>550</v>
      </c>
      <c r="J578" s="170" t="s">
        <v>96</v>
      </c>
      <c r="K578" s="170" t="s">
        <v>345</v>
      </c>
      <c r="L578" s="170" t="s">
        <v>113</v>
      </c>
      <c r="M578" s="75"/>
      <c r="N578" s="75"/>
      <c r="O578" s="75"/>
    </row>
    <row r="579" spans="1:15" ht="15.6">
      <c r="A579" s="428">
        <v>46098</v>
      </c>
      <c r="B579" s="429" t="s">
        <v>1033</v>
      </c>
      <c r="C579" s="170" t="s">
        <v>337</v>
      </c>
      <c r="D579" s="429" t="s">
        <v>259</v>
      </c>
      <c r="E579" s="429">
        <v>1500</v>
      </c>
      <c r="F579" s="454">
        <f t="shared" si="9"/>
        <v>2.8015913038605929</v>
      </c>
      <c r="G579" s="239">
        <v>535.41</v>
      </c>
      <c r="H579" s="429" t="s">
        <v>123</v>
      </c>
      <c r="I579" s="429" t="s">
        <v>550</v>
      </c>
      <c r="J579" s="170" t="s">
        <v>96</v>
      </c>
      <c r="K579" s="170" t="s">
        <v>345</v>
      </c>
      <c r="L579" s="170" t="s">
        <v>113</v>
      </c>
      <c r="M579" s="75"/>
      <c r="N579" s="75"/>
      <c r="O579" s="75"/>
    </row>
    <row r="580" spans="1:15" ht="15.6">
      <c r="A580" s="457">
        <v>46098</v>
      </c>
      <c r="B580" s="242" t="s">
        <v>1059</v>
      </c>
      <c r="C580" s="170" t="s">
        <v>337</v>
      </c>
      <c r="D580" s="242" t="s">
        <v>259</v>
      </c>
      <c r="E580" s="242">
        <v>500</v>
      </c>
      <c r="F580" s="454">
        <f t="shared" si="9"/>
        <v>0.93386376795353099</v>
      </c>
      <c r="G580" s="239">
        <v>535.41</v>
      </c>
      <c r="H580" s="242" t="s">
        <v>122</v>
      </c>
      <c r="I580" s="242" t="s">
        <v>594</v>
      </c>
      <c r="J580" s="170" t="s">
        <v>96</v>
      </c>
      <c r="K580" s="170" t="s">
        <v>345</v>
      </c>
      <c r="L580" s="170" t="s">
        <v>113</v>
      </c>
      <c r="M580" s="75"/>
      <c r="N580" s="75"/>
      <c r="O580" s="75"/>
    </row>
    <row r="581" spans="1:15" ht="15.6">
      <c r="A581" s="457">
        <v>46098</v>
      </c>
      <c r="B581" s="242" t="s">
        <v>1060</v>
      </c>
      <c r="C581" s="170" t="s">
        <v>337</v>
      </c>
      <c r="D581" s="242" t="s">
        <v>259</v>
      </c>
      <c r="E581" s="242">
        <v>500</v>
      </c>
      <c r="F581" s="454">
        <f t="shared" si="9"/>
        <v>0.93386376795353099</v>
      </c>
      <c r="G581" s="239">
        <v>535.41</v>
      </c>
      <c r="H581" s="242" t="s">
        <v>122</v>
      </c>
      <c r="I581" s="242" t="s">
        <v>594</v>
      </c>
      <c r="J581" s="170" t="s">
        <v>96</v>
      </c>
      <c r="K581" s="170" t="s">
        <v>345</v>
      </c>
      <c r="L581" s="170" t="s">
        <v>113</v>
      </c>
      <c r="M581" s="75"/>
      <c r="N581" s="75"/>
      <c r="O581" s="75"/>
    </row>
    <row r="582" spans="1:15" ht="15.6">
      <c r="A582" s="457">
        <v>46098</v>
      </c>
      <c r="B582" s="242" t="s">
        <v>1060</v>
      </c>
      <c r="C582" s="170" t="s">
        <v>337</v>
      </c>
      <c r="D582" s="242" t="s">
        <v>259</v>
      </c>
      <c r="E582" s="242">
        <v>500</v>
      </c>
      <c r="F582" s="454">
        <f t="shared" si="9"/>
        <v>0.93386376795353099</v>
      </c>
      <c r="G582" s="239">
        <v>535.41</v>
      </c>
      <c r="H582" s="242" t="s">
        <v>122</v>
      </c>
      <c r="I582" s="242" t="s">
        <v>594</v>
      </c>
      <c r="J582" s="170" t="s">
        <v>96</v>
      </c>
      <c r="K582" s="170" t="s">
        <v>345</v>
      </c>
      <c r="L582" s="170" t="s">
        <v>113</v>
      </c>
      <c r="M582" s="75"/>
      <c r="N582" s="75"/>
      <c r="O582" s="75"/>
    </row>
    <row r="583" spans="1:15" ht="15.6">
      <c r="A583" s="457">
        <v>46098</v>
      </c>
      <c r="B583" s="242" t="s">
        <v>1060</v>
      </c>
      <c r="C583" s="170" t="s">
        <v>337</v>
      </c>
      <c r="D583" s="242" t="s">
        <v>259</v>
      </c>
      <c r="E583" s="242">
        <v>500</v>
      </c>
      <c r="F583" s="454">
        <f t="shared" si="9"/>
        <v>0.93386376795353099</v>
      </c>
      <c r="G583" s="239">
        <v>535.41</v>
      </c>
      <c r="H583" s="242" t="s">
        <v>122</v>
      </c>
      <c r="I583" s="242" t="s">
        <v>594</v>
      </c>
      <c r="J583" s="170" t="s">
        <v>96</v>
      </c>
      <c r="K583" s="170" t="s">
        <v>345</v>
      </c>
      <c r="L583" s="170" t="s">
        <v>113</v>
      </c>
      <c r="M583" s="75"/>
      <c r="N583" s="75"/>
      <c r="O583" s="75"/>
    </row>
    <row r="584" spans="1:15" ht="15.6">
      <c r="A584" s="457">
        <v>46098</v>
      </c>
      <c r="B584" s="242" t="s">
        <v>1059</v>
      </c>
      <c r="C584" s="170" t="s">
        <v>337</v>
      </c>
      <c r="D584" s="242" t="s">
        <v>259</v>
      </c>
      <c r="E584" s="242">
        <v>500</v>
      </c>
      <c r="F584" s="454">
        <f t="shared" si="9"/>
        <v>0.93386376795353099</v>
      </c>
      <c r="G584" s="239">
        <v>535.41</v>
      </c>
      <c r="H584" s="242" t="s">
        <v>122</v>
      </c>
      <c r="I584" s="242" t="s">
        <v>594</v>
      </c>
      <c r="J584" s="170" t="s">
        <v>96</v>
      </c>
      <c r="K584" s="170" t="s">
        <v>345</v>
      </c>
      <c r="L584" s="170" t="s">
        <v>113</v>
      </c>
      <c r="M584" s="75"/>
      <c r="N584" s="75"/>
      <c r="O584" s="75"/>
    </row>
    <row r="585" spans="1:15" ht="15.6">
      <c r="A585" s="453">
        <v>46098</v>
      </c>
      <c r="B585" s="170" t="s">
        <v>1034</v>
      </c>
      <c r="C585" s="170" t="s">
        <v>406</v>
      </c>
      <c r="D585" s="170" t="s">
        <v>259</v>
      </c>
      <c r="E585" s="170">
        <v>10000</v>
      </c>
      <c r="F585" s="454">
        <f t="shared" si="9"/>
        <v>18.67727535907062</v>
      </c>
      <c r="G585" s="239">
        <v>535.41</v>
      </c>
      <c r="H585" s="170" t="s">
        <v>122</v>
      </c>
      <c r="I585" s="242" t="s">
        <v>618</v>
      </c>
      <c r="J585" s="170" t="s">
        <v>96</v>
      </c>
      <c r="K585" s="170" t="s">
        <v>345</v>
      </c>
      <c r="L585" s="170" t="s">
        <v>113</v>
      </c>
      <c r="M585" s="75"/>
      <c r="N585" s="75"/>
      <c r="O585" s="75"/>
    </row>
    <row r="586" spans="1:15" ht="15.6">
      <c r="A586" s="457">
        <v>46098</v>
      </c>
      <c r="B586" s="242" t="s">
        <v>540</v>
      </c>
      <c r="C586" s="242" t="s">
        <v>541</v>
      </c>
      <c r="D586" s="242" t="s">
        <v>259</v>
      </c>
      <c r="E586" s="242">
        <v>2000</v>
      </c>
      <c r="F586" s="454">
        <f t="shared" si="9"/>
        <v>3.735455071814124</v>
      </c>
      <c r="G586" s="239">
        <v>535.41</v>
      </c>
      <c r="H586" s="242" t="s">
        <v>122</v>
      </c>
      <c r="I586" s="242" t="s">
        <v>596</v>
      </c>
      <c r="J586" s="170" t="s">
        <v>96</v>
      </c>
      <c r="K586" s="170" t="s">
        <v>345</v>
      </c>
      <c r="L586" s="170" t="s">
        <v>113</v>
      </c>
      <c r="M586" s="75"/>
      <c r="N586" s="75"/>
      <c r="O586" s="75"/>
    </row>
    <row r="587" spans="1:15" ht="15.6">
      <c r="A587" s="457">
        <v>46098</v>
      </c>
      <c r="B587" s="242" t="s">
        <v>1029</v>
      </c>
      <c r="C587" s="170" t="s">
        <v>337</v>
      </c>
      <c r="D587" s="242" t="s">
        <v>259</v>
      </c>
      <c r="E587" s="242">
        <v>500</v>
      </c>
      <c r="F587" s="454">
        <f t="shared" si="9"/>
        <v>0.93386376795353099</v>
      </c>
      <c r="G587" s="239">
        <v>535.41</v>
      </c>
      <c r="H587" s="242" t="s">
        <v>122</v>
      </c>
      <c r="I587" s="242" t="s">
        <v>594</v>
      </c>
      <c r="J587" s="170" t="s">
        <v>96</v>
      </c>
      <c r="K587" s="170" t="s">
        <v>345</v>
      </c>
      <c r="L587" s="170" t="s">
        <v>113</v>
      </c>
      <c r="M587" s="75"/>
      <c r="N587" s="75"/>
      <c r="O587" s="75"/>
    </row>
    <row r="588" spans="1:15" ht="15.6">
      <c r="A588" s="457">
        <v>46098</v>
      </c>
      <c r="B588" s="242" t="s">
        <v>1029</v>
      </c>
      <c r="C588" s="170" t="s">
        <v>337</v>
      </c>
      <c r="D588" s="242" t="s">
        <v>259</v>
      </c>
      <c r="E588" s="242">
        <v>500</v>
      </c>
      <c r="F588" s="454">
        <f t="shared" si="9"/>
        <v>0.93386376795353099</v>
      </c>
      <c r="G588" s="239">
        <v>535.41</v>
      </c>
      <c r="H588" s="242" t="s">
        <v>122</v>
      </c>
      <c r="I588" s="242" t="s">
        <v>594</v>
      </c>
      <c r="J588" s="170" t="s">
        <v>96</v>
      </c>
      <c r="K588" s="170" t="s">
        <v>345</v>
      </c>
      <c r="L588" s="170" t="s">
        <v>113</v>
      </c>
      <c r="M588" s="75"/>
      <c r="N588" s="75"/>
      <c r="O588" s="75"/>
    </row>
    <row r="589" spans="1:15" ht="15.6">
      <c r="A589" s="453">
        <v>46098</v>
      </c>
      <c r="B589" s="170" t="s">
        <v>1035</v>
      </c>
      <c r="C589" s="242" t="s">
        <v>402</v>
      </c>
      <c r="D589" s="170" t="s">
        <v>259</v>
      </c>
      <c r="E589" s="170">
        <v>2000</v>
      </c>
      <c r="F589" s="454">
        <f t="shared" si="9"/>
        <v>3.735455071814124</v>
      </c>
      <c r="G589" s="239">
        <v>535.41</v>
      </c>
      <c r="H589" s="170" t="s">
        <v>122</v>
      </c>
      <c r="I589" s="242" t="s">
        <v>619</v>
      </c>
      <c r="J589" s="170" t="s">
        <v>96</v>
      </c>
      <c r="K589" s="170" t="s">
        <v>345</v>
      </c>
      <c r="L589" s="170" t="s">
        <v>113</v>
      </c>
      <c r="M589" s="75"/>
      <c r="N589" s="75"/>
      <c r="O589" s="75"/>
    </row>
    <row r="590" spans="1:15" ht="15.6">
      <c r="A590" s="457">
        <v>46098</v>
      </c>
      <c r="B590" s="242" t="s">
        <v>1061</v>
      </c>
      <c r="C590" s="170" t="s">
        <v>337</v>
      </c>
      <c r="D590" s="242" t="s">
        <v>259</v>
      </c>
      <c r="E590" s="242">
        <v>500</v>
      </c>
      <c r="F590" s="454">
        <f t="shared" si="9"/>
        <v>0.93386376795353099</v>
      </c>
      <c r="G590" s="239">
        <v>535.41</v>
      </c>
      <c r="H590" s="242" t="s">
        <v>122</v>
      </c>
      <c r="I590" s="242" t="s">
        <v>594</v>
      </c>
      <c r="J590" s="170" t="s">
        <v>96</v>
      </c>
      <c r="K590" s="170" t="s">
        <v>345</v>
      </c>
      <c r="L590" s="170" t="s">
        <v>113</v>
      </c>
      <c r="M590" s="75"/>
      <c r="N590" s="75"/>
      <c r="O590" s="75"/>
    </row>
    <row r="591" spans="1:15" ht="15.6">
      <c r="A591" s="453">
        <v>46098</v>
      </c>
      <c r="B591" s="170" t="s">
        <v>1055</v>
      </c>
      <c r="C591" s="170" t="s">
        <v>542</v>
      </c>
      <c r="D591" s="170" t="s">
        <v>259</v>
      </c>
      <c r="E591" s="170">
        <v>10000</v>
      </c>
      <c r="F591" s="454">
        <f t="shared" si="9"/>
        <v>18.67727535907062</v>
      </c>
      <c r="G591" s="239">
        <v>535.41</v>
      </c>
      <c r="H591" s="170" t="s">
        <v>131</v>
      </c>
      <c r="I591" s="170" t="s">
        <v>674</v>
      </c>
      <c r="J591" s="170" t="s">
        <v>96</v>
      </c>
      <c r="K591" s="170" t="s">
        <v>345</v>
      </c>
      <c r="L591" s="170" t="s">
        <v>113</v>
      </c>
      <c r="M591" s="75"/>
      <c r="N591" s="75"/>
      <c r="O591" s="75"/>
    </row>
    <row r="592" spans="1:15" ht="15.6">
      <c r="A592" s="457">
        <v>46098</v>
      </c>
      <c r="B592" s="242" t="s">
        <v>1031</v>
      </c>
      <c r="C592" s="170" t="s">
        <v>337</v>
      </c>
      <c r="D592" s="242" t="s">
        <v>259</v>
      </c>
      <c r="E592" s="242">
        <v>1000</v>
      </c>
      <c r="F592" s="454">
        <f t="shared" si="9"/>
        <v>1.867727535907062</v>
      </c>
      <c r="G592" s="239">
        <v>535.41</v>
      </c>
      <c r="H592" s="242" t="s">
        <v>131</v>
      </c>
      <c r="I592" s="242" t="s">
        <v>653</v>
      </c>
      <c r="J592" s="170" t="s">
        <v>96</v>
      </c>
      <c r="K592" s="170" t="s">
        <v>345</v>
      </c>
      <c r="L592" s="170" t="s">
        <v>113</v>
      </c>
      <c r="M592" s="75"/>
      <c r="N592" s="75"/>
      <c r="O592" s="75"/>
    </row>
    <row r="593" spans="1:15" ht="15.6">
      <c r="A593" s="453">
        <v>46098</v>
      </c>
      <c r="B593" s="170" t="s">
        <v>1028</v>
      </c>
      <c r="C593" s="242" t="s">
        <v>402</v>
      </c>
      <c r="D593" s="170" t="s">
        <v>259</v>
      </c>
      <c r="E593" s="170">
        <v>7000</v>
      </c>
      <c r="F593" s="454">
        <f t="shared" si="9"/>
        <v>13.074092751349434</v>
      </c>
      <c r="G593" s="239">
        <v>535.41</v>
      </c>
      <c r="H593" s="170" t="s">
        <v>131</v>
      </c>
      <c r="I593" s="170" t="s">
        <v>675</v>
      </c>
      <c r="J593" s="170" t="s">
        <v>96</v>
      </c>
      <c r="K593" s="170" t="s">
        <v>345</v>
      </c>
      <c r="L593" s="170" t="s">
        <v>113</v>
      </c>
      <c r="M593" s="75"/>
      <c r="N593" s="75"/>
      <c r="O593" s="75"/>
    </row>
    <row r="594" spans="1:15" ht="15.6">
      <c r="A594" s="457">
        <v>46098</v>
      </c>
      <c r="B594" s="242" t="s">
        <v>1025</v>
      </c>
      <c r="C594" s="170" t="s">
        <v>337</v>
      </c>
      <c r="D594" s="242" t="s">
        <v>259</v>
      </c>
      <c r="E594" s="242">
        <v>2500</v>
      </c>
      <c r="F594" s="454">
        <f t="shared" si="9"/>
        <v>4.669318839767655</v>
      </c>
      <c r="G594" s="239">
        <v>535.41</v>
      </c>
      <c r="H594" s="242" t="s">
        <v>131</v>
      </c>
      <c r="I594" s="242" t="s">
        <v>653</v>
      </c>
      <c r="J594" s="170" t="s">
        <v>96</v>
      </c>
      <c r="K594" s="170" t="s">
        <v>345</v>
      </c>
      <c r="L594" s="170" t="s">
        <v>113</v>
      </c>
      <c r="M594" s="75"/>
      <c r="N594" s="75"/>
      <c r="O594" s="75"/>
    </row>
    <row r="595" spans="1:15" ht="15.6">
      <c r="A595" s="457">
        <v>46099</v>
      </c>
      <c r="B595" s="242" t="s">
        <v>186</v>
      </c>
      <c r="C595" s="170" t="s">
        <v>337</v>
      </c>
      <c r="D595" s="458" t="s">
        <v>99</v>
      </c>
      <c r="E595" s="242">
        <v>1000</v>
      </c>
      <c r="F595" s="454">
        <f t="shared" si="9"/>
        <v>1.8677282335885521</v>
      </c>
      <c r="G595" s="239">
        <v>535.40980000000002</v>
      </c>
      <c r="H595" s="459" t="s">
        <v>111</v>
      </c>
      <c r="I595" s="170" t="s">
        <v>380</v>
      </c>
      <c r="J595" s="170" t="s">
        <v>96</v>
      </c>
      <c r="K595" s="170" t="s">
        <v>345</v>
      </c>
      <c r="L595" s="170" t="s">
        <v>113</v>
      </c>
      <c r="M595" s="364"/>
      <c r="N595" s="364"/>
      <c r="O595" s="75"/>
    </row>
    <row r="596" spans="1:15" ht="15.6">
      <c r="A596" s="457">
        <v>46099</v>
      </c>
      <c r="B596" s="242" t="s">
        <v>369</v>
      </c>
      <c r="C596" s="170" t="s">
        <v>337</v>
      </c>
      <c r="D596" s="458" t="s">
        <v>99</v>
      </c>
      <c r="E596" s="242">
        <v>1000</v>
      </c>
      <c r="F596" s="454">
        <f t="shared" si="9"/>
        <v>1.9254803020356539</v>
      </c>
      <c r="G596" s="239">
        <v>519.35093749999999</v>
      </c>
      <c r="H596" s="459" t="s">
        <v>111</v>
      </c>
      <c r="I596" s="170" t="s">
        <v>380</v>
      </c>
      <c r="J596" s="170" t="s">
        <v>96</v>
      </c>
      <c r="K596" s="170" t="s">
        <v>345</v>
      </c>
      <c r="L596" s="170" t="s">
        <v>113</v>
      </c>
      <c r="M596" s="364"/>
      <c r="N596" s="364"/>
      <c r="O596" s="75"/>
    </row>
    <row r="597" spans="1:15" ht="15.6">
      <c r="A597" s="457">
        <v>46099</v>
      </c>
      <c r="B597" s="242" t="s">
        <v>187</v>
      </c>
      <c r="C597" s="170" t="s">
        <v>337</v>
      </c>
      <c r="D597" s="458" t="s">
        <v>99</v>
      </c>
      <c r="E597" s="242">
        <v>1000</v>
      </c>
      <c r="F597" s="454">
        <f t="shared" si="9"/>
        <v>1.9254803020356539</v>
      </c>
      <c r="G597" s="239">
        <v>519.35093749999999</v>
      </c>
      <c r="H597" s="459" t="s">
        <v>111</v>
      </c>
      <c r="I597" s="170" t="s">
        <v>380</v>
      </c>
      <c r="J597" s="170" t="s">
        <v>96</v>
      </c>
      <c r="K597" s="170" t="s">
        <v>345</v>
      </c>
      <c r="L597" s="170" t="s">
        <v>113</v>
      </c>
      <c r="M597" s="364"/>
      <c r="N597" s="364"/>
      <c r="O597" s="75"/>
    </row>
    <row r="598" spans="1:15" ht="15.6">
      <c r="A598" s="457">
        <v>46099</v>
      </c>
      <c r="B598" s="456" t="s">
        <v>370</v>
      </c>
      <c r="C598" s="170" t="s">
        <v>110</v>
      </c>
      <c r="D598" s="232" t="s">
        <v>99</v>
      </c>
      <c r="E598" s="242">
        <v>10000</v>
      </c>
      <c r="F598" s="454">
        <f t="shared" si="9"/>
        <v>19.25480302035654</v>
      </c>
      <c r="G598" s="239">
        <v>519.35093749999999</v>
      </c>
      <c r="H598" s="459" t="s">
        <v>111</v>
      </c>
      <c r="I598" s="170" t="s">
        <v>390</v>
      </c>
      <c r="J598" s="170" t="s">
        <v>96</v>
      </c>
      <c r="K598" s="170" t="s">
        <v>345</v>
      </c>
      <c r="L598" s="170" t="s">
        <v>113</v>
      </c>
      <c r="M598" s="361"/>
      <c r="N598" s="361"/>
      <c r="O598" s="271"/>
    </row>
    <row r="599" spans="1:15" ht="15.6">
      <c r="A599" s="461">
        <v>46099</v>
      </c>
      <c r="B599" s="462" t="s">
        <v>397</v>
      </c>
      <c r="C599" s="462" t="s">
        <v>110</v>
      </c>
      <c r="D599" s="463" t="s">
        <v>97</v>
      </c>
      <c r="E599" s="464">
        <v>7500</v>
      </c>
      <c r="F599" s="454">
        <f t="shared" si="9"/>
        <v>14.007956519302965</v>
      </c>
      <c r="G599" s="239">
        <v>535.41</v>
      </c>
      <c r="H599" s="165" t="s">
        <v>128</v>
      </c>
      <c r="I599" s="464" t="s">
        <v>428</v>
      </c>
      <c r="J599" s="170" t="s">
        <v>96</v>
      </c>
      <c r="K599" s="170" t="s">
        <v>345</v>
      </c>
      <c r="L599" s="170" t="s">
        <v>113</v>
      </c>
      <c r="M599" s="75"/>
      <c r="N599" s="75"/>
      <c r="O599" s="75"/>
    </row>
    <row r="600" spans="1:15" ht="15.6">
      <c r="A600" s="457">
        <v>46099</v>
      </c>
      <c r="B600" s="242" t="s">
        <v>461</v>
      </c>
      <c r="C600" s="242" t="s">
        <v>242</v>
      </c>
      <c r="D600" s="242" t="s">
        <v>98</v>
      </c>
      <c r="E600" s="460">
        <v>45050</v>
      </c>
      <c r="F600" s="454">
        <f t="shared" si="9"/>
        <v>84.141125492613142</v>
      </c>
      <c r="G600" s="239">
        <v>535.41</v>
      </c>
      <c r="H600" s="242" t="s">
        <v>168</v>
      </c>
      <c r="I600" s="170" t="s">
        <v>519</v>
      </c>
      <c r="J600" s="170" t="s">
        <v>96</v>
      </c>
      <c r="K600" s="170" t="s">
        <v>345</v>
      </c>
      <c r="L600" s="170" t="s">
        <v>113</v>
      </c>
      <c r="M600" s="75"/>
      <c r="N600" s="75"/>
      <c r="O600" s="75"/>
    </row>
    <row r="601" spans="1:15" ht="15.6">
      <c r="A601" s="457">
        <v>46099</v>
      </c>
      <c r="B601" s="242" t="s">
        <v>462</v>
      </c>
      <c r="C601" s="242" t="s">
        <v>463</v>
      </c>
      <c r="D601" s="242" t="s">
        <v>98</v>
      </c>
      <c r="E601" s="460">
        <v>3150</v>
      </c>
      <c r="F601" s="454">
        <f t="shared" si="9"/>
        <v>5.8833417381072453</v>
      </c>
      <c r="G601" s="239">
        <v>535.41</v>
      </c>
      <c r="H601" s="242" t="s">
        <v>168</v>
      </c>
      <c r="I601" s="170" t="s">
        <v>520</v>
      </c>
      <c r="J601" s="170" t="s">
        <v>96</v>
      </c>
      <c r="K601" s="170" t="s">
        <v>345</v>
      </c>
      <c r="L601" s="170" t="s">
        <v>113</v>
      </c>
      <c r="M601" s="75"/>
      <c r="N601" s="75"/>
      <c r="O601" s="75"/>
    </row>
    <row r="602" spans="1:15" ht="15.6">
      <c r="A602" s="457">
        <v>46099</v>
      </c>
      <c r="B602" s="242" t="s">
        <v>464</v>
      </c>
      <c r="C602" s="242" t="s">
        <v>463</v>
      </c>
      <c r="D602" s="242" t="s">
        <v>98</v>
      </c>
      <c r="E602" s="460">
        <v>7710</v>
      </c>
      <c r="F602" s="454">
        <f t="shared" si="9"/>
        <v>14.400179301843448</v>
      </c>
      <c r="G602" s="239">
        <v>535.41</v>
      </c>
      <c r="H602" s="242" t="s">
        <v>168</v>
      </c>
      <c r="I602" s="170" t="s">
        <v>521</v>
      </c>
      <c r="J602" s="170" t="s">
        <v>96</v>
      </c>
      <c r="K602" s="170" t="s">
        <v>345</v>
      </c>
      <c r="L602" s="170" t="s">
        <v>113</v>
      </c>
      <c r="M602" s="75"/>
      <c r="N602" s="75"/>
      <c r="O602" s="75"/>
    </row>
    <row r="603" spans="1:15" ht="15.6">
      <c r="A603" s="467">
        <v>46099</v>
      </c>
      <c r="B603" s="242" t="s">
        <v>465</v>
      </c>
      <c r="C603" s="170" t="s">
        <v>337</v>
      </c>
      <c r="D603" s="242" t="s">
        <v>98</v>
      </c>
      <c r="E603" s="298">
        <v>500</v>
      </c>
      <c r="F603" s="454">
        <f t="shared" si="9"/>
        <v>0.93386376795353099</v>
      </c>
      <c r="G603" s="239">
        <v>535.41</v>
      </c>
      <c r="H603" s="242" t="s">
        <v>168</v>
      </c>
      <c r="I603" s="242" t="s">
        <v>510</v>
      </c>
      <c r="J603" s="170" t="s">
        <v>96</v>
      </c>
      <c r="K603" s="170" t="s">
        <v>345</v>
      </c>
      <c r="L603" s="170" t="s">
        <v>113</v>
      </c>
      <c r="M603" s="75"/>
      <c r="N603" s="75"/>
      <c r="O603" s="75"/>
    </row>
    <row r="604" spans="1:15" ht="15.6">
      <c r="A604" s="467">
        <v>46099</v>
      </c>
      <c r="B604" s="242" t="s">
        <v>466</v>
      </c>
      <c r="C604" s="170" t="s">
        <v>337</v>
      </c>
      <c r="D604" s="242" t="s">
        <v>98</v>
      </c>
      <c r="E604" s="298">
        <v>500</v>
      </c>
      <c r="F604" s="454">
        <f t="shared" si="9"/>
        <v>0.93386376795353099</v>
      </c>
      <c r="G604" s="239">
        <v>535.41</v>
      </c>
      <c r="H604" s="242" t="s">
        <v>168</v>
      </c>
      <c r="I604" s="242" t="s">
        <v>510</v>
      </c>
      <c r="J604" s="170" t="s">
        <v>96</v>
      </c>
      <c r="K604" s="170" t="s">
        <v>345</v>
      </c>
      <c r="L604" s="170" t="s">
        <v>113</v>
      </c>
      <c r="M604" s="75"/>
      <c r="N604" s="75"/>
      <c r="O604" s="75"/>
    </row>
    <row r="605" spans="1:15" ht="15.6">
      <c r="A605" s="467">
        <v>46099</v>
      </c>
      <c r="B605" s="242" t="s">
        <v>467</v>
      </c>
      <c r="C605" s="170" t="s">
        <v>337</v>
      </c>
      <c r="D605" s="242" t="s">
        <v>98</v>
      </c>
      <c r="E605" s="298">
        <v>1000</v>
      </c>
      <c r="F605" s="454">
        <f t="shared" si="9"/>
        <v>1.867727535907062</v>
      </c>
      <c r="G605" s="239">
        <v>535.41</v>
      </c>
      <c r="H605" s="242" t="s">
        <v>168</v>
      </c>
      <c r="I605" s="242" t="s">
        <v>510</v>
      </c>
      <c r="J605" s="170" t="s">
        <v>96</v>
      </c>
      <c r="K605" s="170" t="s">
        <v>345</v>
      </c>
      <c r="L605" s="170" t="s">
        <v>113</v>
      </c>
      <c r="M605" s="75"/>
      <c r="N605" s="75"/>
      <c r="O605" s="75"/>
    </row>
    <row r="606" spans="1:15" ht="15.6">
      <c r="A606" s="467">
        <v>46099</v>
      </c>
      <c r="B606" s="242" t="s">
        <v>468</v>
      </c>
      <c r="C606" s="170" t="s">
        <v>337</v>
      </c>
      <c r="D606" s="242" t="s">
        <v>98</v>
      </c>
      <c r="E606" s="298">
        <v>1000</v>
      </c>
      <c r="F606" s="454">
        <f t="shared" si="9"/>
        <v>1.867727535907062</v>
      </c>
      <c r="G606" s="239">
        <v>535.41</v>
      </c>
      <c r="H606" s="242" t="s">
        <v>168</v>
      </c>
      <c r="I606" s="242" t="s">
        <v>510</v>
      </c>
      <c r="J606" s="170" t="s">
        <v>96</v>
      </c>
      <c r="K606" s="170" t="s">
        <v>345</v>
      </c>
      <c r="L606" s="170" t="s">
        <v>113</v>
      </c>
      <c r="M606" s="75"/>
      <c r="N606" s="75"/>
      <c r="O606" s="75"/>
    </row>
    <row r="607" spans="1:15" ht="15.6">
      <c r="A607" s="467">
        <v>46099</v>
      </c>
      <c r="B607" s="242" t="s">
        <v>469</v>
      </c>
      <c r="C607" s="170" t="s">
        <v>337</v>
      </c>
      <c r="D607" s="242" t="s">
        <v>98</v>
      </c>
      <c r="E607" s="298">
        <v>1000</v>
      </c>
      <c r="F607" s="454">
        <f t="shared" ref="F607:F670" si="10">E607/G607</f>
        <v>1.867727535907062</v>
      </c>
      <c r="G607" s="239">
        <v>535.41</v>
      </c>
      <c r="H607" s="242" t="s">
        <v>168</v>
      </c>
      <c r="I607" s="242" t="s">
        <v>510</v>
      </c>
      <c r="J607" s="170" t="s">
        <v>96</v>
      </c>
      <c r="K607" s="170" t="s">
        <v>345</v>
      </c>
      <c r="L607" s="170" t="s">
        <v>113</v>
      </c>
      <c r="M607" s="75"/>
      <c r="N607" s="75"/>
      <c r="O607" s="75"/>
    </row>
    <row r="608" spans="1:15" ht="15.6">
      <c r="A608" s="467">
        <v>46099</v>
      </c>
      <c r="B608" s="242" t="s">
        <v>470</v>
      </c>
      <c r="C608" s="170" t="s">
        <v>337</v>
      </c>
      <c r="D608" s="242" t="s">
        <v>98</v>
      </c>
      <c r="E608" s="298">
        <v>1000</v>
      </c>
      <c r="F608" s="454">
        <f t="shared" si="10"/>
        <v>1.867727535907062</v>
      </c>
      <c r="G608" s="239">
        <v>535.41</v>
      </c>
      <c r="H608" s="242" t="s">
        <v>168</v>
      </c>
      <c r="I608" s="242" t="s">
        <v>510</v>
      </c>
      <c r="J608" s="170" t="s">
        <v>96</v>
      </c>
      <c r="K608" s="170" t="s">
        <v>345</v>
      </c>
      <c r="L608" s="170" t="s">
        <v>113</v>
      </c>
      <c r="M608" s="75"/>
      <c r="N608" s="75"/>
      <c r="O608" s="75"/>
    </row>
    <row r="609" spans="1:15" ht="15.6">
      <c r="A609" s="467">
        <v>46099</v>
      </c>
      <c r="B609" s="242" t="s">
        <v>471</v>
      </c>
      <c r="C609" s="242" t="s">
        <v>110</v>
      </c>
      <c r="D609" s="242" t="s">
        <v>99</v>
      </c>
      <c r="E609" s="298">
        <v>5000</v>
      </c>
      <c r="F609" s="454">
        <f t="shared" si="10"/>
        <v>9.3386376795353101</v>
      </c>
      <c r="G609" s="239">
        <v>535.41</v>
      </c>
      <c r="H609" s="242" t="s">
        <v>168</v>
      </c>
      <c r="I609" s="242" t="s">
        <v>522</v>
      </c>
      <c r="J609" s="170" t="s">
        <v>96</v>
      </c>
      <c r="K609" s="170" t="s">
        <v>345</v>
      </c>
      <c r="L609" s="170" t="s">
        <v>113</v>
      </c>
      <c r="M609" s="75"/>
      <c r="N609" s="75"/>
      <c r="O609" s="75"/>
    </row>
    <row r="610" spans="1:15" ht="15.6">
      <c r="A610" s="467">
        <v>46099</v>
      </c>
      <c r="B610" s="242" t="s">
        <v>472</v>
      </c>
      <c r="C610" s="170" t="s">
        <v>337</v>
      </c>
      <c r="D610" s="242" t="s">
        <v>98</v>
      </c>
      <c r="E610" s="298">
        <v>1000</v>
      </c>
      <c r="F610" s="454">
        <f t="shared" si="10"/>
        <v>1.867727535907062</v>
      </c>
      <c r="G610" s="239">
        <v>535.41</v>
      </c>
      <c r="H610" s="242" t="s">
        <v>168</v>
      </c>
      <c r="I610" s="242" t="s">
        <v>510</v>
      </c>
      <c r="J610" s="170" t="s">
        <v>96</v>
      </c>
      <c r="K610" s="170" t="s">
        <v>345</v>
      </c>
      <c r="L610" s="170" t="s">
        <v>113</v>
      </c>
      <c r="M610" s="75"/>
      <c r="N610" s="75"/>
      <c r="O610" s="75"/>
    </row>
    <row r="611" spans="1:15" ht="15.6">
      <c r="A611" s="467">
        <v>46099</v>
      </c>
      <c r="B611" s="242" t="s">
        <v>335</v>
      </c>
      <c r="C611" s="170" t="s">
        <v>337</v>
      </c>
      <c r="D611" s="242" t="s">
        <v>98</v>
      </c>
      <c r="E611" s="298">
        <v>1000</v>
      </c>
      <c r="F611" s="454">
        <f t="shared" si="10"/>
        <v>1.867727535907062</v>
      </c>
      <c r="G611" s="239">
        <v>535.41</v>
      </c>
      <c r="H611" s="242" t="s">
        <v>168</v>
      </c>
      <c r="I611" s="242" t="s">
        <v>510</v>
      </c>
      <c r="J611" s="170" t="s">
        <v>96</v>
      </c>
      <c r="K611" s="170" t="s">
        <v>345</v>
      </c>
      <c r="L611" s="170" t="s">
        <v>113</v>
      </c>
      <c r="M611" s="75"/>
      <c r="N611" s="75"/>
      <c r="O611" s="75"/>
    </row>
    <row r="612" spans="1:15" ht="15.6">
      <c r="A612" s="428">
        <v>46099</v>
      </c>
      <c r="B612" s="429" t="s">
        <v>1028</v>
      </c>
      <c r="C612" s="242" t="s">
        <v>402</v>
      </c>
      <c r="D612" s="429" t="s">
        <v>259</v>
      </c>
      <c r="E612" s="429">
        <v>12000</v>
      </c>
      <c r="F612" s="454">
        <f t="shared" si="10"/>
        <v>22.412730430884743</v>
      </c>
      <c r="G612" s="239">
        <v>535.41</v>
      </c>
      <c r="H612" s="429" t="s">
        <v>123</v>
      </c>
      <c r="I612" s="429" t="s">
        <v>566</v>
      </c>
      <c r="J612" s="170" t="s">
        <v>96</v>
      </c>
      <c r="K612" s="170" t="s">
        <v>345</v>
      </c>
      <c r="L612" s="170" t="s">
        <v>113</v>
      </c>
      <c r="M612" s="75"/>
      <c r="N612" s="75"/>
      <c r="O612" s="75"/>
    </row>
    <row r="613" spans="1:15" ht="15.6">
      <c r="A613" s="428">
        <v>46099</v>
      </c>
      <c r="B613" s="165" t="s">
        <v>546</v>
      </c>
      <c r="C613" s="165" t="s">
        <v>110</v>
      </c>
      <c r="D613" s="165" t="s">
        <v>544</v>
      </c>
      <c r="E613" s="429">
        <v>7500</v>
      </c>
      <c r="F613" s="454">
        <f t="shared" si="10"/>
        <v>14.007956519302965</v>
      </c>
      <c r="G613" s="239">
        <v>535.41</v>
      </c>
      <c r="H613" s="429" t="s">
        <v>123</v>
      </c>
      <c r="I613" s="429" t="s">
        <v>567</v>
      </c>
      <c r="J613" s="170" t="s">
        <v>96</v>
      </c>
      <c r="K613" s="170" t="s">
        <v>345</v>
      </c>
      <c r="L613" s="170" t="s">
        <v>113</v>
      </c>
      <c r="M613" s="75"/>
      <c r="N613" s="75"/>
      <c r="O613" s="75"/>
    </row>
    <row r="614" spans="1:15" ht="15.6">
      <c r="A614" s="457">
        <v>46099</v>
      </c>
      <c r="B614" s="242" t="s">
        <v>1062</v>
      </c>
      <c r="C614" s="170" t="s">
        <v>337</v>
      </c>
      <c r="D614" s="242" t="s">
        <v>259</v>
      </c>
      <c r="E614" s="242">
        <v>500</v>
      </c>
      <c r="F614" s="454">
        <f t="shared" si="10"/>
        <v>0.93386376795353099</v>
      </c>
      <c r="G614" s="239">
        <v>535.41</v>
      </c>
      <c r="H614" s="242" t="s">
        <v>122</v>
      </c>
      <c r="I614" s="242" t="s">
        <v>594</v>
      </c>
      <c r="J614" s="170" t="s">
        <v>96</v>
      </c>
      <c r="K614" s="170" t="s">
        <v>345</v>
      </c>
      <c r="L614" s="170" t="s">
        <v>113</v>
      </c>
      <c r="M614" s="75"/>
      <c r="N614" s="75"/>
      <c r="O614" s="75"/>
    </row>
    <row r="615" spans="1:15" ht="15.6">
      <c r="A615" s="457">
        <v>46099</v>
      </c>
      <c r="B615" s="242" t="s">
        <v>1025</v>
      </c>
      <c r="C615" s="170" t="s">
        <v>337</v>
      </c>
      <c r="D615" s="242" t="s">
        <v>259</v>
      </c>
      <c r="E615" s="242">
        <v>1000</v>
      </c>
      <c r="F615" s="454">
        <f t="shared" si="10"/>
        <v>1.867727535907062</v>
      </c>
      <c r="G615" s="239">
        <v>535.41</v>
      </c>
      <c r="H615" s="242" t="s">
        <v>122</v>
      </c>
      <c r="I615" s="242" t="s">
        <v>594</v>
      </c>
      <c r="J615" s="170" t="s">
        <v>96</v>
      </c>
      <c r="K615" s="170" t="s">
        <v>345</v>
      </c>
      <c r="L615" s="170" t="s">
        <v>113</v>
      </c>
      <c r="M615" s="75"/>
      <c r="N615" s="75"/>
      <c r="O615" s="75"/>
    </row>
    <row r="616" spans="1:15" ht="15.6">
      <c r="A616" s="457">
        <v>46099</v>
      </c>
      <c r="B616" s="242" t="s">
        <v>1025</v>
      </c>
      <c r="C616" s="170" t="s">
        <v>337</v>
      </c>
      <c r="D616" s="242" t="s">
        <v>259</v>
      </c>
      <c r="E616" s="242">
        <v>500</v>
      </c>
      <c r="F616" s="454">
        <f t="shared" si="10"/>
        <v>0.93386376795353099</v>
      </c>
      <c r="G616" s="239">
        <v>535.41</v>
      </c>
      <c r="H616" s="242" t="s">
        <v>122</v>
      </c>
      <c r="I616" s="242" t="s">
        <v>594</v>
      </c>
      <c r="J616" s="170" t="s">
        <v>96</v>
      </c>
      <c r="K616" s="170" t="s">
        <v>345</v>
      </c>
      <c r="L616" s="170" t="s">
        <v>113</v>
      </c>
      <c r="M616" s="75"/>
      <c r="N616" s="75"/>
      <c r="O616" s="75"/>
    </row>
    <row r="617" spans="1:15" ht="15.6">
      <c r="A617" s="457">
        <v>46099</v>
      </c>
      <c r="B617" s="242" t="s">
        <v>1025</v>
      </c>
      <c r="C617" s="170" t="s">
        <v>337</v>
      </c>
      <c r="D617" s="242" t="s">
        <v>259</v>
      </c>
      <c r="E617" s="242">
        <v>500</v>
      </c>
      <c r="F617" s="454">
        <f t="shared" si="10"/>
        <v>0.93386376795353099</v>
      </c>
      <c r="G617" s="239">
        <v>535.41</v>
      </c>
      <c r="H617" s="242" t="s">
        <v>122</v>
      </c>
      <c r="I617" s="242" t="s">
        <v>594</v>
      </c>
      <c r="J617" s="170" t="s">
        <v>96</v>
      </c>
      <c r="K617" s="170" t="s">
        <v>345</v>
      </c>
      <c r="L617" s="170" t="s">
        <v>113</v>
      </c>
      <c r="M617" s="75"/>
      <c r="N617" s="75"/>
      <c r="O617" s="75"/>
    </row>
    <row r="618" spans="1:15" ht="15.6">
      <c r="A618" s="457">
        <v>46099</v>
      </c>
      <c r="B618" s="242" t="s">
        <v>1025</v>
      </c>
      <c r="C618" s="170" t="s">
        <v>337</v>
      </c>
      <c r="D618" s="242" t="s">
        <v>259</v>
      </c>
      <c r="E618" s="242">
        <v>500</v>
      </c>
      <c r="F618" s="454">
        <f t="shared" si="10"/>
        <v>0.93386376795353099</v>
      </c>
      <c r="G618" s="239">
        <v>535.41</v>
      </c>
      <c r="H618" s="242" t="s">
        <v>122</v>
      </c>
      <c r="I618" s="242" t="s">
        <v>594</v>
      </c>
      <c r="J618" s="170" t="s">
        <v>96</v>
      </c>
      <c r="K618" s="170" t="s">
        <v>345</v>
      </c>
      <c r="L618" s="170" t="s">
        <v>113</v>
      </c>
      <c r="M618" s="75"/>
      <c r="N618" s="75"/>
      <c r="O618" s="75"/>
    </row>
    <row r="619" spans="1:15" ht="15.6">
      <c r="A619" s="457">
        <v>46099</v>
      </c>
      <c r="B619" s="242" t="s">
        <v>1025</v>
      </c>
      <c r="C619" s="170" t="s">
        <v>337</v>
      </c>
      <c r="D619" s="242" t="s">
        <v>259</v>
      </c>
      <c r="E619" s="242">
        <v>500</v>
      </c>
      <c r="F619" s="454">
        <f t="shared" si="10"/>
        <v>0.93386376795353099</v>
      </c>
      <c r="G619" s="239">
        <v>535.41</v>
      </c>
      <c r="H619" s="242" t="s">
        <v>122</v>
      </c>
      <c r="I619" s="242" t="s">
        <v>594</v>
      </c>
      <c r="J619" s="170" t="s">
        <v>96</v>
      </c>
      <c r="K619" s="170" t="s">
        <v>345</v>
      </c>
      <c r="L619" s="170" t="s">
        <v>113</v>
      </c>
      <c r="M619" s="75"/>
      <c r="N619" s="75"/>
      <c r="O619" s="75"/>
    </row>
    <row r="620" spans="1:15" ht="15.6">
      <c r="A620" s="457">
        <v>46099</v>
      </c>
      <c r="B620" s="242" t="s">
        <v>1025</v>
      </c>
      <c r="C620" s="170" t="s">
        <v>337</v>
      </c>
      <c r="D620" s="242" t="s">
        <v>259</v>
      </c>
      <c r="E620" s="242">
        <v>500</v>
      </c>
      <c r="F620" s="454">
        <f t="shared" si="10"/>
        <v>0.93386376795353099</v>
      </c>
      <c r="G620" s="239">
        <v>535.41</v>
      </c>
      <c r="H620" s="242" t="s">
        <v>122</v>
      </c>
      <c r="I620" s="242" t="s">
        <v>594</v>
      </c>
      <c r="J620" s="170" t="s">
        <v>96</v>
      </c>
      <c r="K620" s="170" t="s">
        <v>345</v>
      </c>
      <c r="L620" s="170" t="s">
        <v>113</v>
      </c>
      <c r="M620" s="75"/>
      <c r="N620" s="75"/>
      <c r="O620" s="75"/>
    </row>
    <row r="621" spans="1:15" ht="15.6">
      <c r="A621" s="457">
        <v>46099</v>
      </c>
      <c r="B621" s="242" t="s">
        <v>1025</v>
      </c>
      <c r="C621" s="170" t="s">
        <v>337</v>
      </c>
      <c r="D621" s="242" t="s">
        <v>259</v>
      </c>
      <c r="E621" s="242">
        <v>500</v>
      </c>
      <c r="F621" s="454">
        <f t="shared" si="10"/>
        <v>0.93386376795353099</v>
      </c>
      <c r="G621" s="239">
        <v>535.41</v>
      </c>
      <c r="H621" s="242" t="s">
        <v>122</v>
      </c>
      <c r="I621" s="242" t="s">
        <v>594</v>
      </c>
      <c r="J621" s="170" t="s">
        <v>96</v>
      </c>
      <c r="K621" s="170" t="s">
        <v>345</v>
      </c>
      <c r="L621" s="170" t="s">
        <v>113</v>
      </c>
      <c r="M621" s="75"/>
      <c r="N621" s="75"/>
      <c r="O621" s="75"/>
    </row>
    <row r="622" spans="1:15" ht="15.6">
      <c r="A622" s="457">
        <v>46099</v>
      </c>
      <c r="B622" s="242" t="s">
        <v>1025</v>
      </c>
      <c r="C622" s="170" t="s">
        <v>337</v>
      </c>
      <c r="D622" s="242" t="s">
        <v>259</v>
      </c>
      <c r="E622" s="242">
        <v>500</v>
      </c>
      <c r="F622" s="454">
        <f t="shared" si="10"/>
        <v>0.93386376795353099</v>
      </c>
      <c r="G622" s="239">
        <v>535.41</v>
      </c>
      <c r="H622" s="242" t="s">
        <v>122</v>
      </c>
      <c r="I622" s="242" t="s">
        <v>594</v>
      </c>
      <c r="J622" s="170" t="s">
        <v>96</v>
      </c>
      <c r="K622" s="170" t="s">
        <v>345</v>
      </c>
      <c r="L622" s="170" t="s">
        <v>113</v>
      </c>
      <c r="M622" s="75"/>
      <c r="N622" s="75"/>
      <c r="O622" s="75"/>
    </row>
    <row r="623" spans="1:15" ht="15.6">
      <c r="A623" s="457">
        <v>46099</v>
      </c>
      <c r="B623" s="242" t="s">
        <v>1063</v>
      </c>
      <c r="C623" s="242" t="s">
        <v>587</v>
      </c>
      <c r="D623" s="242" t="s">
        <v>259</v>
      </c>
      <c r="E623" s="242">
        <v>2000</v>
      </c>
      <c r="F623" s="454">
        <f t="shared" si="10"/>
        <v>3.735455071814124</v>
      </c>
      <c r="G623" s="239">
        <v>535.41</v>
      </c>
      <c r="H623" s="242" t="s">
        <v>122</v>
      </c>
      <c r="I623" s="242" t="s">
        <v>596</v>
      </c>
      <c r="J623" s="170" t="s">
        <v>96</v>
      </c>
      <c r="K623" s="170" t="s">
        <v>345</v>
      </c>
      <c r="L623" s="170" t="s">
        <v>113</v>
      </c>
      <c r="M623" s="75"/>
      <c r="N623" s="75"/>
      <c r="O623" s="75"/>
    </row>
    <row r="624" spans="1:15" ht="15.6">
      <c r="A624" s="457">
        <v>46099</v>
      </c>
      <c r="B624" s="165" t="s">
        <v>591</v>
      </c>
      <c r="C624" s="165" t="s">
        <v>110</v>
      </c>
      <c r="D624" s="242" t="s">
        <v>259</v>
      </c>
      <c r="E624" s="242">
        <v>7500</v>
      </c>
      <c r="F624" s="454">
        <f t="shared" si="10"/>
        <v>14.007956519302965</v>
      </c>
      <c r="G624" s="239">
        <v>535.41</v>
      </c>
      <c r="H624" s="242" t="s">
        <v>122</v>
      </c>
      <c r="I624" s="242" t="s">
        <v>621</v>
      </c>
      <c r="J624" s="170" t="s">
        <v>96</v>
      </c>
      <c r="K624" s="170" t="s">
        <v>345</v>
      </c>
      <c r="L624" s="170" t="s">
        <v>113</v>
      </c>
      <c r="M624" s="75"/>
      <c r="N624" s="75"/>
      <c r="O624" s="75"/>
    </row>
    <row r="625" spans="1:15" ht="15.6">
      <c r="A625" s="457">
        <v>46099</v>
      </c>
      <c r="B625" s="242" t="s">
        <v>1025</v>
      </c>
      <c r="C625" s="170" t="s">
        <v>337</v>
      </c>
      <c r="D625" s="242" t="s">
        <v>259</v>
      </c>
      <c r="E625" s="242">
        <v>1000</v>
      </c>
      <c r="F625" s="454">
        <f t="shared" si="10"/>
        <v>1.867727535907062</v>
      </c>
      <c r="G625" s="239">
        <v>535.41</v>
      </c>
      <c r="H625" s="242" t="s">
        <v>131</v>
      </c>
      <c r="I625" s="242" t="s">
        <v>653</v>
      </c>
      <c r="J625" s="170" t="s">
        <v>96</v>
      </c>
      <c r="K625" s="170" t="s">
        <v>345</v>
      </c>
      <c r="L625" s="170" t="s">
        <v>113</v>
      </c>
      <c r="M625" s="75"/>
      <c r="N625" s="75"/>
      <c r="O625" s="75"/>
    </row>
    <row r="626" spans="1:15" ht="15.6">
      <c r="A626" s="457">
        <v>46099</v>
      </c>
      <c r="B626" s="242" t="s">
        <v>1029</v>
      </c>
      <c r="C626" s="170" t="s">
        <v>337</v>
      </c>
      <c r="D626" s="242" t="s">
        <v>259</v>
      </c>
      <c r="E626" s="242">
        <v>1000</v>
      </c>
      <c r="F626" s="454">
        <f t="shared" si="10"/>
        <v>1.867727535907062</v>
      </c>
      <c r="G626" s="239">
        <v>535.41</v>
      </c>
      <c r="H626" s="242" t="s">
        <v>131</v>
      </c>
      <c r="I626" s="242" t="s">
        <v>653</v>
      </c>
      <c r="J626" s="170" t="s">
        <v>96</v>
      </c>
      <c r="K626" s="170" t="s">
        <v>345</v>
      </c>
      <c r="L626" s="170" t="s">
        <v>113</v>
      </c>
      <c r="M626" s="75"/>
      <c r="N626" s="75"/>
      <c r="O626" s="75"/>
    </row>
    <row r="627" spans="1:15" ht="15.6">
      <c r="A627" s="453">
        <v>46099</v>
      </c>
      <c r="B627" s="170" t="s">
        <v>649</v>
      </c>
      <c r="C627" s="170" t="s">
        <v>110</v>
      </c>
      <c r="D627" s="170" t="s">
        <v>259</v>
      </c>
      <c r="E627" s="170">
        <v>7500</v>
      </c>
      <c r="F627" s="454">
        <f t="shared" si="10"/>
        <v>14.007956519302965</v>
      </c>
      <c r="G627" s="239">
        <v>535.41</v>
      </c>
      <c r="H627" s="170" t="s">
        <v>131</v>
      </c>
      <c r="I627" s="170" t="s">
        <v>676</v>
      </c>
      <c r="J627" s="170" t="s">
        <v>96</v>
      </c>
      <c r="K627" s="170" t="s">
        <v>345</v>
      </c>
      <c r="L627" s="170" t="s">
        <v>113</v>
      </c>
      <c r="M627" s="75"/>
      <c r="N627" s="75"/>
      <c r="O627" s="75"/>
    </row>
    <row r="628" spans="1:15" ht="15.6">
      <c r="A628" s="468">
        <v>46099</v>
      </c>
      <c r="B628" s="170" t="s">
        <v>700</v>
      </c>
      <c r="C628" s="456" t="s">
        <v>110</v>
      </c>
      <c r="D628" s="456" t="s">
        <v>97</v>
      </c>
      <c r="E628" s="367">
        <v>7500</v>
      </c>
      <c r="F628" s="454">
        <f t="shared" si="10"/>
        <v>14.007956519302965</v>
      </c>
      <c r="G628" s="239">
        <v>535.41</v>
      </c>
      <c r="H628" s="456" t="s">
        <v>134</v>
      </c>
      <c r="I628" s="170" t="s">
        <v>732</v>
      </c>
      <c r="J628" s="170" t="s">
        <v>96</v>
      </c>
      <c r="K628" s="170" t="s">
        <v>345</v>
      </c>
      <c r="L628" s="170" t="s">
        <v>113</v>
      </c>
      <c r="M628" s="75"/>
      <c r="N628" s="75"/>
      <c r="O628" s="75"/>
    </row>
    <row r="629" spans="1:15" ht="15.6">
      <c r="A629" s="457">
        <v>46099</v>
      </c>
      <c r="B629" s="462" t="s">
        <v>746</v>
      </c>
      <c r="C629" s="462" t="s">
        <v>110</v>
      </c>
      <c r="D629" s="469" t="s">
        <v>100</v>
      </c>
      <c r="E629" s="299">
        <v>7500</v>
      </c>
      <c r="F629" s="454">
        <f t="shared" si="10"/>
        <v>14.007956519302965</v>
      </c>
      <c r="G629" s="239">
        <v>535.41</v>
      </c>
      <c r="H629" s="242" t="s">
        <v>129</v>
      </c>
      <c r="I629" s="242" t="s">
        <v>793</v>
      </c>
      <c r="J629" s="170" t="s">
        <v>96</v>
      </c>
      <c r="K629" s="170" t="s">
        <v>345</v>
      </c>
      <c r="L629" s="170" t="s">
        <v>113</v>
      </c>
      <c r="M629" s="75"/>
      <c r="N629" s="75"/>
      <c r="O629" s="75"/>
    </row>
    <row r="630" spans="1:15" ht="15.6">
      <c r="A630" s="457">
        <v>46099</v>
      </c>
      <c r="B630" s="242" t="s">
        <v>807</v>
      </c>
      <c r="C630" s="242" t="s">
        <v>110</v>
      </c>
      <c r="D630" s="242" t="s">
        <v>97</v>
      </c>
      <c r="E630" s="242">
        <v>5000</v>
      </c>
      <c r="F630" s="454">
        <f t="shared" si="10"/>
        <v>9.3386376795353101</v>
      </c>
      <c r="G630" s="239">
        <v>535.41</v>
      </c>
      <c r="H630" s="242" t="s">
        <v>124</v>
      </c>
      <c r="I630" s="242" t="s">
        <v>844</v>
      </c>
      <c r="J630" s="170" t="s">
        <v>96</v>
      </c>
      <c r="K630" s="170" t="s">
        <v>345</v>
      </c>
      <c r="L630" s="170" t="s">
        <v>113</v>
      </c>
      <c r="M630" s="75"/>
      <c r="N630" s="75"/>
      <c r="O630" s="75"/>
    </row>
    <row r="631" spans="1:15" ht="15.6">
      <c r="A631" s="457">
        <v>46100</v>
      </c>
      <c r="B631" s="242" t="s">
        <v>186</v>
      </c>
      <c r="C631" s="170" t="s">
        <v>337</v>
      </c>
      <c r="D631" s="458" t="s">
        <v>99</v>
      </c>
      <c r="E631" s="242">
        <v>1000</v>
      </c>
      <c r="F631" s="454">
        <f t="shared" si="10"/>
        <v>1.9254803020356539</v>
      </c>
      <c r="G631" s="239">
        <v>519.35093749999999</v>
      </c>
      <c r="H631" s="459" t="s">
        <v>111</v>
      </c>
      <c r="I631" s="170" t="s">
        <v>380</v>
      </c>
      <c r="J631" s="170" t="s">
        <v>96</v>
      </c>
      <c r="K631" s="170" t="s">
        <v>345</v>
      </c>
      <c r="L631" s="170" t="s">
        <v>113</v>
      </c>
      <c r="M631" s="364"/>
      <c r="N631" s="364"/>
      <c r="O631" s="278"/>
    </row>
    <row r="632" spans="1:15" ht="15.6">
      <c r="A632" s="457">
        <v>46100</v>
      </c>
      <c r="B632" s="242" t="s">
        <v>307</v>
      </c>
      <c r="C632" s="170" t="s">
        <v>337</v>
      </c>
      <c r="D632" s="458" t="s">
        <v>99</v>
      </c>
      <c r="E632" s="242">
        <v>1000</v>
      </c>
      <c r="F632" s="454">
        <f t="shared" si="10"/>
        <v>1.9254803020356539</v>
      </c>
      <c r="G632" s="239">
        <v>519.35093749999999</v>
      </c>
      <c r="H632" s="459" t="s">
        <v>111</v>
      </c>
      <c r="I632" s="170" t="s">
        <v>380</v>
      </c>
      <c r="J632" s="170" t="s">
        <v>96</v>
      </c>
      <c r="K632" s="170" t="s">
        <v>345</v>
      </c>
      <c r="L632" s="170" t="s">
        <v>113</v>
      </c>
      <c r="M632" s="364"/>
      <c r="N632" s="364"/>
      <c r="O632" s="75"/>
    </row>
    <row r="633" spans="1:15" ht="15.6">
      <c r="A633" s="457">
        <v>46100</v>
      </c>
      <c r="B633" s="242" t="s">
        <v>308</v>
      </c>
      <c r="C633" s="170" t="s">
        <v>337</v>
      </c>
      <c r="D633" s="458" t="s">
        <v>99</v>
      </c>
      <c r="E633" s="242">
        <v>1000</v>
      </c>
      <c r="F633" s="454">
        <f t="shared" si="10"/>
        <v>1.9254803020356539</v>
      </c>
      <c r="G633" s="239">
        <v>519.35093749999999</v>
      </c>
      <c r="H633" s="459" t="s">
        <v>111</v>
      </c>
      <c r="I633" s="170" t="s">
        <v>380</v>
      </c>
      <c r="J633" s="170" t="s">
        <v>96</v>
      </c>
      <c r="K633" s="170" t="s">
        <v>345</v>
      </c>
      <c r="L633" s="170" t="s">
        <v>113</v>
      </c>
      <c r="M633" s="364"/>
      <c r="N633" s="364"/>
      <c r="O633" s="75"/>
    </row>
    <row r="634" spans="1:15" ht="15.6">
      <c r="A634" s="457">
        <v>46100</v>
      </c>
      <c r="B634" s="242" t="s">
        <v>187</v>
      </c>
      <c r="C634" s="170" t="s">
        <v>337</v>
      </c>
      <c r="D634" s="458" t="s">
        <v>99</v>
      </c>
      <c r="E634" s="242">
        <v>1000</v>
      </c>
      <c r="F634" s="454">
        <f t="shared" si="10"/>
        <v>1.9254803020356539</v>
      </c>
      <c r="G634" s="239">
        <v>519.35093749999999</v>
      </c>
      <c r="H634" s="459" t="s">
        <v>111</v>
      </c>
      <c r="I634" s="170" t="s">
        <v>380</v>
      </c>
      <c r="J634" s="170" t="s">
        <v>96</v>
      </c>
      <c r="K634" s="170" t="s">
        <v>345</v>
      </c>
      <c r="L634" s="170" t="s">
        <v>113</v>
      </c>
      <c r="M634" s="364"/>
      <c r="N634" s="364"/>
      <c r="O634" s="75"/>
    </row>
    <row r="635" spans="1:15" ht="15.6">
      <c r="A635" s="467">
        <v>46100</v>
      </c>
      <c r="B635" s="242" t="s">
        <v>473</v>
      </c>
      <c r="C635" s="170" t="s">
        <v>337</v>
      </c>
      <c r="D635" s="242" t="s">
        <v>98</v>
      </c>
      <c r="E635" s="298">
        <v>1000</v>
      </c>
      <c r="F635" s="454">
        <f t="shared" si="10"/>
        <v>1.867727535907062</v>
      </c>
      <c r="G635" s="239">
        <v>535.41</v>
      </c>
      <c r="H635" s="242" t="s">
        <v>168</v>
      </c>
      <c r="I635" s="242" t="s">
        <v>510</v>
      </c>
      <c r="J635" s="170" t="s">
        <v>96</v>
      </c>
      <c r="K635" s="170" t="s">
        <v>345</v>
      </c>
      <c r="L635" s="170" t="s">
        <v>113</v>
      </c>
      <c r="M635" s="75"/>
      <c r="N635" s="75"/>
      <c r="O635" s="75"/>
    </row>
    <row r="636" spans="1:15" ht="15.6">
      <c r="A636" s="467">
        <v>46100</v>
      </c>
      <c r="B636" s="242" t="s">
        <v>460</v>
      </c>
      <c r="C636" s="170" t="s">
        <v>337</v>
      </c>
      <c r="D636" s="242" t="s">
        <v>98</v>
      </c>
      <c r="E636" s="298">
        <v>1000</v>
      </c>
      <c r="F636" s="454">
        <f t="shared" si="10"/>
        <v>1.867727535907062</v>
      </c>
      <c r="G636" s="239">
        <v>535.41</v>
      </c>
      <c r="H636" s="242" t="s">
        <v>168</v>
      </c>
      <c r="I636" s="242" t="s">
        <v>510</v>
      </c>
      <c r="J636" s="170" t="s">
        <v>96</v>
      </c>
      <c r="K636" s="170" t="s">
        <v>345</v>
      </c>
      <c r="L636" s="170" t="s">
        <v>113</v>
      </c>
      <c r="M636" s="75"/>
      <c r="N636" s="75"/>
      <c r="O636" s="75"/>
    </row>
    <row r="637" spans="1:15" ht="15.6">
      <c r="A637" s="428">
        <v>46100</v>
      </c>
      <c r="B637" s="429" t="s">
        <v>1064</v>
      </c>
      <c r="C637" s="170" t="s">
        <v>337</v>
      </c>
      <c r="D637" s="429" t="s">
        <v>259</v>
      </c>
      <c r="E637" s="429">
        <v>1500</v>
      </c>
      <c r="F637" s="454">
        <f t="shared" si="10"/>
        <v>2.8015913038605929</v>
      </c>
      <c r="G637" s="239">
        <v>535.41</v>
      </c>
      <c r="H637" s="429" t="s">
        <v>123</v>
      </c>
      <c r="I637" s="429" t="s">
        <v>550</v>
      </c>
      <c r="J637" s="170" t="s">
        <v>96</v>
      </c>
      <c r="K637" s="170" t="s">
        <v>345</v>
      </c>
      <c r="L637" s="170" t="s">
        <v>113</v>
      </c>
      <c r="M637" s="75"/>
      <c r="N637" s="75"/>
      <c r="O637" s="75"/>
    </row>
    <row r="638" spans="1:15" ht="15.6">
      <c r="A638" s="428">
        <v>46100</v>
      </c>
      <c r="B638" s="429" t="s">
        <v>1033</v>
      </c>
      <c r="C638" s="170" t="s">
        <v>337</v>
      </c>
      <c r="D638" s="429" t="s">
        <v>259</v>
      </c>
      <c r="E638" s="429">
        <v>500</v>
      </c>
      <c r="F638" s="454">
        <f t="shared" si="10"/>
        <v>0.93386376795353099</v>
      </c>
      <c r="G638" s="239">
        <v>535.41</v>
      </c>
      <c r="H638" s="429" t="s">
        <v>123</v>
      </c>
      <c r="I638" s="429" t="s">
        <v>550</v>
      </c>
      <c r="J638" s="170" t="s">
        <v>96</v>
      </c>
      <c r="K638" s="170" t="s">
        <v>345</v>
      </c>
      <c r="L638" s="170" t="s">
        <v>113</v>
      </c>
      <c r="M638" s="75"/>
      <c r="N638" s="75"/>
      <c r="O638" s="75"/>
    </row>
    <row r="639" spans="1:15" ht="15.6">
      <c r="A639" s="428">
        <v>46100</v>
      </c>
      <c r="B639" s="429" t="s">
        <v>1065</v>
      </c>
      <c r="C639" s="429" t="s">
        <v>542</v>
      </c>
      <c r="D639" s="429" t="s">
        <v>259</v>
      </c>
      <c r="E639" s="429">
        <v>170000</v>
      </c>
      <c r="F639" s="454">
        <f t="shared" si="10"/>
        <v>317.51368110420054</v>
      </c>
      <c r="G639" s="239">
        <v>535.41</v>
      </c>
      <c r="H639" s="429" t="s">
        <v>123</v>
      </c>
      <c r="I639" s="429" t="s">
        <v>568</v>
      </c>
      <c r="J639" s="170" t="s">
        <v>96</v>
      </c>
      <c r="K639" s="170" t="s">
        <v>345</v>
      </c>
      <c r="L639" s="170" t="s">
        <v>113</v>
      </c>
      <c r="M639" s="75"/>
      <c r="N639" s="75"/>
      <c r="O639" s="75"/>
    </row>
    <row r="640" spans="1:15" ht="15.6">
      <c r="A640" s="457">
        <v>46100</v>
      </c>
      <c r="B640" s="242" t="s">
        <v>1029</v>
      </c>
      <c r="C640" s="170" t="s">
        <v>337</v>
      </c>
      <c r="D640" s="242" t="s">
        <v>259</v>
      </c>
      <c r="E640" s="242">
        <v>500</v>
      </c>
      <c r="F640" s="454">
        <f t="shared" si="10"/>
        <v>0.93386376795353099</v>
      </c>
      <c r="G640" s="239">
        <v>535.41</v>
      </c>
      <c r="H640" s="242" t="s">
        <v>122</v>
      </c>
      <c r="I640" s="242" t="s">
        <v>594</v>
      </c>
      <c r="J640" s="170" t="s">
        <v>96</v>
      </c>
      <c r="K640" s="170" t="s">
        <v>345</v>
      </c>
      <c r="L640" s="170" t="s">
        <v>113</v>
      </c>
      <c r="M640" s="75"/>
      <c r="N640" s="75"/>
      <c r="O640" s="75"/>
    </row>
    <row r="641" spans="1:15" ht="15.6">
      <c r="A641" s="457">
        <v>46100</v>
      </c>
      <c r="B641" s="242" t="s">
        <v>1029</v>
      </c>
      <c r="C641" s="170" t="s">
        <v>337</v>
      </c>
      <c r="D641" s="242" t="s">
        <v>259</v>
      </c>
      <c r="E641" s="242">
        <v>500</v>
      </c>
      <c r="F641" s="454">
        <f t="shared" si="10"/>
        <v>0.93386376795353099</v>
      </c>
      <c r="G641" s="239">
        <v>535.41</v>
      </c>
      <c r="H641" s="242" t="s">
        <v>122</v>
      </c>
      <c r="I641" s="242" t="s">
        <v>594</v>
      </c>
      <c r="J641" s="170" t="s">
        <v>96</v>
      </c>
      <c r="K641" s="170" t="s">
        <v>345</v>
      </c>
      <c r="L641" s="170" t="s">
        <v>113</v>
      </c>
      <c r="M641" s="75"/>
      <c r="N641" s="75"/>
      <c r="O641" s="75"/>
    </row>
    <row r="642" spans="1:15" ht="15.6">
      <c r="A642" s="457">
        <v>46100</v>
      </c>
      <c r="B642" s="242" t="s">
        <v>1025</v>
      </c>
      <c r="C642" s="170" t="s">
        <v>337</v>
      </c>
      <c r="D642" s="242" t="s">
        <v>259</v>
      </c>
      <c r="E642" s="242">
        <v>500</v>
      </c>
      <c r="F642" s="454">
        <f t="shared" si="10"/>
        <v>0.93386376795353099</v>
      </c>
      <c r="G642" s="239">
        <v>535.41</v>
      </c>
      <c r="H642" s="242" t="s">
        <v>122</v>
      </c>
      <c r="I642" s="242" t="s">
        <v>594</v>
      </c>
      <c r="J642" s="170" t="s">
        <v>96</v>
      </c>
      <c r="K642" s="170" t="s">
        <v>345</v>
      </c>
      <c r="L642" s="170" t="s">
        <v>113</v>
      </c>
      <c r="M642" s="75"/>
      <c r="N642" s="75"/>
      <c r="O642" s="75"/>
    </row>
    <row r="643" spans="1:15" ht="15.6">
      <c r="A643" s="457">
        <v>46100</v>
      </c>
      <c r="B643" s="242" t="s">
        <v>1025</v>
      </c>
      <c r="C643" s="170" t="s">
        <v>337</v>
      </c>
      <c r="D643" s="242" t="s">
        <v>259</v>
      </c>
      <c r="E643" s="242">
        <v>500</v>
      </c>
      <c r="F643" s="454">
        <f t="shared" si="10"/>
        <v>0.93386376795353099</v>
      </c>
      <c r="G643" s="239">
        <v>535.41</v>
      </c>
      <c r="H643" s="242" t="s">
        <v>122</v>
      </c>
      <c r="I643" s="242" t="s">
        <v>594</v>
      </c>
      <c r="J643" s="170" t="s">
        <v>96</v>
      </c>
      <c r="K643" s="170" t="s">
        <v>345</v>
      </c>
      <c r="L643" s="170" t="s">
        <v>113</v>
      </c>
      <c r="M643" s="75"/>
      <c r="N643" s="75"/>
      <c r="O643" s="75"/>
    </row>
    <row r="644" spans="1:15" ht="15.6">
      <c r="A644" s="450">
        <v>46100</v>
      </c>
      <c r="B644" s="242" t="s">
        <v>939</v>
      </c>
      <c r="C644" s="242" t="s">
        <v>130</v>
      </c>
      <c r="D644" s="242" t="s">
        <v>98</v>
      </c>
      <c r="E644" s="245">
        <v>217164</v>
      </c>
      <c r="F644" s="454">
        <f t="shared" si="10"/>
        <v>405.60318260772124</v>
      </c>
      <c r="G644" s="239">
        <v>535.41</v>
      </c>
      <c r="H644" s="242" t="s">
        <v>107</v>
      </c>
      <c r="I644" s="242" t="s">
        <v>979</v>
      </c>
      <c r="J644" s="170" t="s">
        <v>96</v>
      </c>
      <c r="K644" s="170" t="s">
        <v>345</v>
      </c>
      <c r="L644" s="170" t="s">
        <v>113</v>
      </c>
      <c r="M644" s="75"/>
      <c r="N644" s="75"/>
      <c r="O644" s="75"/>
    </row>
    <row r="645" spans="1:15" ht="15.6">
      <c r="A645" s="457">
        <v>46101</v>
      </c>
      <c r="B645" s="242" t="s">
        <v>186</v>
      </c>
      <c r="C645" s="170" t="s">
        <v>337</v>
      </c>
      <c r="D645" s="458" t="s">
        <v>99</v>
      </c>
      <c r="E645" s="242">
        <v>1000</v>
      </c>
      <c r="F645" s="454">
        <f t="shared" si="10"/>
        <v>1.9254803020356539</v>
      </c>
      <c r="G645" s="239">
        <v>519.35093749999999</v>
      </c>
      <c r="H645" s="459" t="s">
        <v>111</v>
      </c>
      <c r="I645" s="170" t="s">
        <v>380</v>
      </c>
      <c r="J645" s="170" t="s">
        <v>96</v>
      </c>
      <c r="K645" s="170" t="s">
        <v>345</v>
      </c>
      <c r="L645" s="170" t="s">
        <v>113</v>
      </c>
      <c r="M645" s="364"/>
      <c r="N645" s="364"/>
      <c r="O645" s="75"/>
    </row>
    <row r="646" spans="1:15" ht="15.6">
      <c r="A646" s="457">
        <v>46101</v>
      </c>
      <c r="B646" s="242" t="s">
        <v>192</v>
      </c>
      <c r="C646" s="170" t="s">
        <v>337</v>
      </c>
      <c r="D646" s="458" t="s">
        <v>99</v>
      </c>
      <c r="E646" s="242">
        <v>1000</v>
      </c>
      <c r="F646" s="454">
        <f t="shared" si="10"/>
        <v>1.8771635173931283</v>
      </c>
      <c r="G646" s="239">
        <v>532.71864210781655</v>
      </c>
      <c r="H646" s="459" t="s">
        <v>111</v>
      </c>
      <c r="I646" s="170" t="s">
        <v>380</v>
      </c>
      <c r="J646" s="170" t="s">
        <v>96</v>
      </c>
      <c r="K646" s="170" t="s">
        <v>345</v>
      </c>
      <c r="L646" s="170" t="s">
        <v>113</v>
      </c>
      <c r="M646" s="364"/>
      <c r="N646" s="364"/>
      <c r="O646" s="75"/>
    </row>
    <row r="647" spans="1:15" ht="15.6">
      <c r="A647" s="467">
        <v>46101</v>
      </c>
      <c r="B647" s="242" t="s">
        <v>474</v>
      </c>
      <c r="C647" s="170" t="s">
        <v>337</v>
      </c>
      <c r="D647" s="242" t="s">
        <v>98</v>
      </c>
      <c r="E647" s="298">
        <v>500</v>
      </c>
      <c r="F647" s="454">
        <f t="shared" si="10"/>
        <v>0.93386376795353099</v>
      </c>
      <c r="G647" s="239">
        <v>535.41</v>
      </c>
      <c r="H647" s="242" t="s">
        <v>168</v>
      </c>
      <c r="I647" s="242" t="s">
        <v>510</v>
      </c>
      <c r="J647" s="170" t="s">
        <v>96</v>
      </c>
      <c r="K647" s="170" t="s">
        <v>345</v>
      </c>
      <c r="L647" s="170" t="s">
        <v>113</v>
      </c>
      <c r="M647" s="75"/>
      <c r="N647" s="75"/>
      <c r="O647" s="75"/>
    </row>
    <row r="648" spans="1:15" ht="15.6">
      <c r="A648" s="467">
        <v>46101</v>
      </c>
      <c r="B648" s="242" t="s">
        <v>466</v>
      </c>
      <c r="C648" s="170" t="s">
        <v>337</v>
      </c>
      <c r="D648" s="242" t="s">
        <v>98</v>
      </c>
      <c r="E648" s="298">
        <v>500</v>
      </c>
      <c r="F648" s="454">
        <f t="shared" si="10"/>
        <v>0.93386376795353099</v>
      </c>
      <c r="G648" s="239">
        <v>535.41</v>
      </c>
      <c r="H648" s="242" t="s">
        <v>168</v>
      </c>
      <c r="I648" s="242" t="s">
        <v>510</v>
      </c>
      <c r="J648" s="170" t="s">
        <v>96</v>
      </c>
      <c r="K648" s="170" t="s">
        <v>345</v>
      </c>
      <c r="L648" s="170" t="s">
        <v>113</v>
      </c>
      <c r="M648" s="75"/>
      <c r="N648" s="75"/>
      <c r="O648" s="75"/>
    </row>
    <row r="649" spans="1:15" ht="15.6">
      <c r="A649" s="467">
        <v>46101</v>
      </c>
      <c r="B649" s="242" t="s">
        <v>465</v>
      </c>
      <c r="C649" s="170" t="s">
        <v>337</v>
      </c>
      <c r="D649" s="242" t="s">
        <v>98</v>
      </c>
      <c r="E649" s="298">
        <v>500</v>
      </c>
      <c r="F649" s="454">
        <f t="shared" si="10"/>
        <v>0.93386376795353099</v>
      </c>
      <c r="G649" s="239">
        <v>535.41</v>
      </c>
      <c r="H649" s="242" t="s">
        <v>168</v>
      </c>
      <c r="I649" s="242" t="s">
        <v>510</v>
      </c>
      <c r="J649" s="170" t="s">
        <v>96</v>
      </c>
      <c r="K649" s="170" t="s">
        <v>345</v>
      </c>
      <c r="L649" s="170" t="s">
        <v>113</v>
      </c>
      <c r="M649" s="75"/>
      <c r="N649" s="75"/>
      <c r="O649" s="75"/>
    </row>
    <row r="650" spans="1:15" ht="15.6">
      <c r="A650" s="467">
        <v>46101</v>
      </c>
      <c r="B650" s="242" t="s">
        <v>466</v>
      </c>
      <c r="C650" s="170" t="s">
        <v>337</v>
      </c>
      <c r="D650" s="242" t="s">
        <v>98</v>
      </c>
      <c r="E650" s="298">
        <v>500</v>
      </c>
      <c r="F650" s="454">
        <f t="shared" si="10"/>
        <v>0.93386376795353099</v>
      </c>
      <c r="G650" s="239">
        <v>535.41</v>
      </c>
      <c r="H650" s="242" t="s">
        <v>168</v>
      </c>
      <c r="I650" s="242" t="s">
        <v>510</v>
      </c>
      <c r="J650" s="170" t="s">
        <v>96</v>
      </c>
      <c r="K650" s="170" t="s">
        <v>345</v>
      </c>
      <c r="L650" s="170" t="s">
        <v>113</v>
      </c>
      <c r="M650" s="75"/>
      <c r="N650" s="75"/>
      <c r="O650" s="75"/>
    </row>
    <row r="651" spans="1:15" ht="15.6">
      <c r="A651" s="428">
        <v>46101</v>
      </c>
      <c r="B651" s="429" t="s">
        <v>1033</v>
      </c>
      <c r="C651" s="170" t="s">
        <v>337</v>
      </c>
      <c r="D651" s="429" t="s">
        <v>259</v>
      </c>
      <c r="E651" s="429">
        <v>500</v>
      </c>
      <c r="F651" s="454">
        <f t="shared" si="10"/>
        <v>0.93386376795353099</v>
      </c>
      <c r="G651" s="239">
        <v>535.41</v>
      </c>
      <c r="H651" s="429" t="s">
        <v>123</v>
      </c>
      <c r="I651" s="429" t="s">
        <v>550</v>
      </c>
      <c r="J651" s="170" t="s">
        <v>96</v>
      </c>
      <c r="K651" s="170" t="s">
        <v>345</v>
      </c>
      <c r="L651" s="170" t="s">
        <v>113</v>
      </c>
      <c r="M651" s="75"/>
      <c r="N651" s="75"/>
      <c r="O651" s="75"/>
    </row>
    <row r="652" spans="1:15" ht="15.6">
      <c r="A652" s="428">
        <v>46101</v>
      </c>
      <c r="B652" s="429" t="s">
        <v>1066</v>
      </c>
      <c r="C652" s="170" t="s">
        <v>337</v>
      </c>
      <c r="D652" s="429" t="s">
        <v>259</v>
      </c>
      <c r="E652" s="429">
        <v>1000</v>
      </c>
      <c r="F652" s="454">
        <f t="shared" si="10"/>
        <v>1.867727535907062</v>
      </c>
      <c r="G652" s="239">
        <v>535.41</v>
      </c>
      <c r="H652" s="429" t="s">
        <v>123</v>
      </c>
      <c r="I652" s="429" t="s">
        <v>550</v>
      </c>
      <c r="J652" s="170" t="s">
        <v>96</v>
      </c>
      <c r="K652" s="170" t="s">
        <v>345</v>
      </c>
      <c r="L652" s="170" t="s">
        <v>113</v>
      </c>
      <c r="M652" s="75"/>
      <c r="N652" s="75"/>
      <c r="O652" s="75"/>
    </row>
    <row r="653" spans="1:15" ht="15.6">
      <c r="A653" s="428">
        <v>46101</v>
      </c>
      <c r="B653" s="429" t="s">
        <v>1028</v>
      </c>
      <c r="C653" s="242" t="s">
        <v>402</v>
      </c>
      <c r="D653" s="429" t="s">
        <v>259</v>
      </c>
      <c r="E653" s="429">
        <v>2000</v>
      </c>
      <c r="F653" s="454">
        <f t="shared" si="10"/>
        <v>3.735455071814124</v>
      </c>
      <c r="G653" s="239">
        <v>535.41</v>
      </c>
      <c r="H653" s="429" t="s">
        <v>123</v>
      </c>
      <c r="I653" s="429" t="s">
        <v>569</v>
      </c>
      <c r="J653" s="170" t="s">
        <v>96</v>
      </c>
      <c r="K653" s="170" t="s">
        <v>345</v>
      </c>
      <c r="L653" s="170" t="s">
        <v>113</v>
      </c>
      <c r="M653" s="75"/>
      <c r="N653" s="75"/>
      <c r="O653" s="75"/>
    </row>
    <row r="654" spans="1:15" ht="15.6">
      <c r="A654" s="428">
        <v>46101</v>
      </c>
      <c r="B654" s="429" t="s">
        <v>1053</v>
      </c>
      <c r="C654" s="170" t="s">
        <v>337</v>
      </c>
      <c r="D654" s="429" t="s">
        <v>259</v>
      </c>
      <c r="E654" s="429">
        <v>500</v>
      </c>
      <c r="F654" s="454">
        <f t="shared" si="10"/>
        <v>0.93386376795353099</v>
      </c>
      <c r="G654" s="239">
        <v>535.41</v>
      </c>
      <c r="H654" s="429" t="s">
        <v>123</v>
      </c>
      <c r="I654" s="429" t="s">
        <v>550</v>
      </c>
      <c r="J654" s="170" t="s">
        <v>96</v>
      </c>
      <c r="K654" s="170" t="s">
        <v>345</v>
      </c>
      <c r="L654" s="170" t="s">
        <v>113</v>
      </c>
      <c r="M654" s="75"/>
      <c r="N654" s="75"/>
      <c r="O654" s="75"/>
    </row>
    <row r="655" spans="1:15" ht="15.6">
      <c r="A655" s="428">
        <v>46101</v>
      </c>
      <c r="B655" s="429" t="s">
        <v>1053</v>
      </c>
      <c r="C655" s="170" t="s">
        <v>337</v>
      </c>
      <c r="D655" s="429" t="s">
        <v>259</v>
      </c>
      <c r="E655" s="429">
        <v>500</v>
      </c>
      <c r="F655" s="454">
        <f t="shared" si="10"/>
        <v>0.93386376795353099</v>
      </c>
      <c r="G655" s="239">
        <v>535.41</v>
      </c>
      <c r="H655" s="429" t="s">
        <v>123</v>
      </c>
      <c r="I655" s="429" t="s">
        <v>550</v>
      </c>
      <c r="J655" s="170" t="s">
        <v>96</v>
      </c>
      <c r="K655" s="170" t="s">
        <v>345</v>
      </c>
      <c r="L655" s="170" t="s">
        <v>113</v>
      </c>
      <c r="M655" s="75"/>
      <c r="N655" s="75"/>
      <c r="O655" s="75"/>
    </row>
    <row r="656" spans="1:15" ht="15.6">
      <c r="A656" s="428">
        <v>46101</v>
      </c>
      <c r="B656" s="429" t="s">
        <v>1053</v>
      </c>
      <c r="C656" s="170" t="s">
        <v>337</v>
      </c>
      <c r="D656" s="429" t="s">
        <v>259</v>
      </c>
      <c r="E656" s="429">
        <v>500</v>
      </c>
      <c r="F656" s="454">
        <f t="shared" si="10"/>
        <v>0.93386376795353099</v>
      </c>
      <c r="G656" s="239">
        <v>535.41</v>
      </c>
      <c r="H656" s="429" t="s">
        <v>123</v>
      </c>
      <c r="I656" s="429" t="s">
        <v>550</v>
      </c>
      <c r="J656" s="170" t="s">
        <v>96</v>
      </c>
      <c r="K656" s="170" t="s">
        <v>345</v>
      </c>
      <c r="L656" s="170" t="s">
        <v>113</v>
      </c>
      <c r="M656" s="75"/>
      <c r="N656" s="75"/>
      <c r="O656" s="75"/>
    </row>
    <row r="657" spans="1:15" ht="15.6">
      <c r="A657" s="428">
        <v>46101</v>
      </c>
      <c r="B657" s="429" t="s">
        <v>1053</v>
      </c>
      <c r="C657" s="170" t="s">
        <v>337</v>
      </c>
      <c r="D657" s="429" t="s">
        <v>259</v>
      </c>
      <c r="E657" s="429">
        <v>500</v>
      </c>
      <c r="F657" s="454">
        <f t="shared" si="10"/>
        <v>0.93386376795353099</v>
      </c>
      <c r="G657" s="239">
        <v>535.41</v>
      </c>
      <c r="H657" s="429" t="s">
        <v>123</v>
      </c>
      <c r="I657" s="429" t="s">
        <v>550</v>
      </c>
      <c r="J657" s="170" t="s">
        <v>96</v>
      </c>
      <c r="K657" s="170" t="s">
        <v>345</v>
      </c>
      <c r="L657" s="170" t="s">
        <v>113</v>
      </c>
      <c r="M657" s="75"/>
      <c r="N657" s="75"/>
      <c r="O657" s="75"/>
    </row>
    <row r="658" spans="1:15" ht="15.6">
      <c r="A658" s="428">
        <v>46101</v>
      </c>
      <c r="B658" s="429" t="s">
        <v>1053</v>
      </c>
      <c r="C658" s="170" t="s">
        <v>337</v>
      </c>
      <c r="D658" s="429" t="s">
        <v>259</v>
      </c>
      <c r="E658" s="429">
        <v>500</v>
      </c>
      <c r="F658" s="454">
        <f t="shared" si="10"/>
        <v>0.93386376795353099</v>
      </c>
      <c r="G658" s="239">
        <v>535.41</v>
      </c>
      <c r="H658" s="429" t="s">
        <v>123</v>
      </c>
      <c r="I658" s="429" t="s">
        <v>550</v>
      </c>
      <c r="J658" s="170" t="s">
        <v>96</v>
      </c>
      <c r="K658" s="170" t="s">
        <v>345</v>
      </c>
      <c r="L658" s="170" t="s">
        <v>113</v>
      </c>
      <c r="M658" s="75"/>
      <c r="N658" s="75"/>
      <c r="O658" s="75"/>
    </row>
    <row r="659" spans="1:15" ht="15.6">
      <c r="A659" s="428">
        <v>46101</v>
      </c>
      <c r="B659" s="429" t="s">
        <v>1051</v>
      </c>
      <c r="C659" s="429" t="s">
        <v>542</v>
      </c>
      <c r="D659" s="429" t="s">
        <v>259</v>
      </c>
      <c r="E659" s="429">
        <v>10000</v>
      </c>
      <c r="F659" s="454">
        <f t="shared" si="10"/>
        <v>18.67727535907062</v>
      </c>
      <c r="G659" s="239">
        <v>535.41</v>
      </c>
      <c r="H659" s="429" t="s">
        <v>123</v>
      </c>
      <c r="I659" s="429" t="s">
        <v>571</v>
      </c>
      <c r="J659" s="170" t="s">
        <v>96</v>
      </c>
      <c r="K659" s="170" t="s">
        <v>345</v>
      </c>
      <c r="L659" s="170" t="s">
        <v>113</v>
      </c>
      <c r="M659" s="75"/>
      <c r="N659" s="75"/>
      <c r="O659" s="75"/>
    </row>
    <row r="660" spans="1:15" ht="15.6">
      <c r="A660" s="457">
        <v>46101</v>
      </c>
      <c r="B660" s="242" t="s">
        <v>1029</v>
      </c>
      <c r="C660" s="170" t="s">
        <v>337</v>
      </c>
      <c r="D660" s="242" t="s">
        <v>259</v>
      </c>
      <c r="E660" s="242">
        <v>500</v>
      </c>
      <c r="F660" s="454">
        <f t="shared" si="10"/>
        <v>0.93386376795353099</v>
      </c>
      <c r="G660" s="239">
        <v>535.41</v>
      </c>
      <c r="H660" s="242" t="s">
        <v>122</v>
      </c>
      <c r="I660" s="242" t="s">
        <v>594</v>
      </c>
      <c r="J660" s="170" t="s">
        <v>96</v>
      </c>
      <c r="K660" s="170" t="s">
        <v>345</v>
      </c>
      <c r="L660" s="170" t="s">
        <v>113</v>
      </c>
      <c r="M660" s="75"/>
      <c r="N660" s="75"/>
      <c r="O660" s="75"/>
    </row>
    <row r="661" spans="1:15" ht="15.6">
      <c r="A661" s="457">
        <v>46101</v>
      </c>
      <c r="B661" s="242" t="s">
        <v>1029</v>
      </c>
      <c r="C661" s="170" t="s">
        <v>337</v>
      </c>
      <c r="D661" s="242" t="s">
        <v>259</v>
      </c>
      <c r="E661" s="242">
        <v>500</v>
      </c>
      <c r="F661" s="454">
        <f t="shared" si="10"/>
        <v>0.93386376795353099</v>
      </c>
      <c r="G661" s="239">
        <v>535.41</v>
      </c>
      <c r="H661" s="242" t="s">
        <v>122</v>
      </c>
      <c r="I661" s="242" t="s">
        <v>594</v>
      </c>
      <c r="J661" s="170" t="s">
        <v>96</v>
      </c>
      <c r="K661" s="170" t="s">
        <v>345</v>
      </c>
      <c r="L661" s="170" t="s">
        <v>113</v>
      </c>
      <c r="M661" s="75"/>
      <c r="N661" s="75"/>
      <c r="O661" s="75"/>
    </row>
    <row r="662" spans="1:15" ht="15.6">
      <c r="A662" s="457">
        <v>46101</v>
      </c>
      <c r="B662" s="242" t="s">
        <v>1025</v>
      </c>
      <c r="C662" s="170" t="s">
        <v>337</v>
      </c>
      <c r="D662" s="242" t="s">
        <v>259</v>
      </c>
      <c r="E662" s="242">
        <v>500</v>
      </c>
      <c r="F662" s="454">
        <f t="shared" si="10"/>
        <v>0.93386376795353099</v>
      </c>
      <c r="G662" s="239">
        <v>535.41</v>
      </c>
      <c r="H662" s="242" t="s">
        <v>122</v>
      </c>
      <c r="I662" s="242" t="s">
        <v>594</v>
      </c>
      <c r="J662" s="170" t="s">
        <v>96</v>
      </c>
      <c r="K662" s="170" t="s">
        <v>345</v>
      </c>
      <c r="L662" s="170" t="s">
        <v>113</v>
      </c>
      <c r="M662" s="75"/>
      <c r="N662" s="75"/>
      <c r="O662" s="75"/>
    </row>
    <row r="663" spans="1:15" ht="15.6">
      <c r="A663" s="457">
        <v>46101</v>
      </c>
      <c r="B663" s="242" t="s">
        <v>1025</v>
      </c>
      <c r="C663" s="170" t="s">
        <v>337</v>
      </c>
      <c r="D663" s="242" t="s">
        <v>259</v>
      </c>
      <c r="E663" s="242">
        <v>500</v>
      </c>
      <c r="F663" s="454">
        <f t="shared" si="10"/>
        <v>0.93386376795353099</v>
      </c>
      <c r="G663" s="239">
        <v>535.41</v>
      </c>
      <c r="H663" s="242" t="s">
        <v>122</v>
      </c>
      <c r="I663" s="242" t="s">
        <v>594</v>
      </c>
      <c r="J663" s="170" t="s">
        <v>96</v>
      </c>
      <c r="K663" s="170" t="s">
        <v>345</v>
      </c>
      <c r="L663" s="170" t="s">
        <v>113</v>
      </c>
      <c r="M663" s="75"/>
      <c r="N663" s="75"/>
      <c r="O663" s="75"/>
    </row>
    <row r="664" spans="1:15" ht="15.6">
      <c r="A664" s="457">
        <v>46101</v>
      </c>
      <c r="B664" s="242" t="s">
        <v>1025</v>
      </c>
      <c r="C664" s="170" t="s">
        <v>337</v>
      </c>
      <c r="D664" s="242" t="s">
        <v>259</v>
      </c>
      <c r="E664" s="242">
        <v>1000</v>
      </c>
      <c r="F664" s="454">
        <f t="shared" si="10"/>
        <v>1.867727535907062</v>
      </c>
      <c r="G664" s="239">
        <v>535.41</v>
      </c>
      <c r="H664" s="242" t="s">
        <v>131</v>
      </c>
      <c r="I664" s="242" t="s">
        <v>653</v>
      </c>
      <c r="J664" s="170" t="s">
        <v>96</v>
      </c>
      <c r="K664" s="170" t="s">
        <v>345</v>
      </c>
      <c r="L664" s="170" t="s">
        <v>113</v>
      </c>
      <c r="M664" s="75"/>
      <c r="N664" s="75"/>
      <c r="O664" s="75"/>
    </row>
    <row r="665" spans="1:15" ht="15.6">
      <c r="A665" s="453">
        <v>46101</v>
      </c>
      <c r="B665" s="170" t="s">
        <v>1028</v>
      </c>
      <c r="C665" s="242" t="s">
        <v>402</v>
      </c>
      <c r="D665" s="170" t="s">
        <v>259</v>
      </c>
      <c r="E665" s="170">
        <v>9000</v>
      </c>
      <c r="F665" s="454">
        <f t="shared" si="10"/>
        <v>16.809547823163559</v>
      </c>
      <c r="G665" s="239">
        <v>535.41</v>
      </c>
      <c r="H665" s="170" t="s">
        <v>131</v>
      </c>
      <c r="I665" s="170" t="s">
        <v>678</v>
      </c>
      <c r="J665" s="170" t="s">
        <v>96</v>
      </c>
      <c r="K665" s="170" t="s">
        <v>345</v>
      </c>
      <c r="L665" s="170" t="s">
        <v>113</v>
      </c>
      <c r="M665" s="75"/>
      <c r="N665" s="75"/>
      <c r="O665" s="75"/>
    </row>
    <row r="666" spans="1:15" ht="15.6">
      <c r="A666" s="457">
        <v>46101</v>
      </c>
      <c r="B666" s="242" t="s">
        <v>1025</v>
      </c>
      <c r="C666" s="170" t="s">
        <v>337</v>
      </c>
      <c r="D666" s="242" t="s">
        <v>259</v>
      </c>
      <c r="E666" s="242">
        <v>2500</v>
      </c>
      <c r="F666" s="454">
        <f t="shared" si="10"/>
        <v>4.669318839767655</v>
      </c>
      <c r="G666" s="239">
        <v>535.41</v>
      </c>
      <c r="H666" s="242" t="s">
        <v>131</v>
      </c>
      <c r="I666" s="242" t="s">
        <v>653</v>
      </c>
      <c r="J666" s="170" t="s">
        <v>96</v>
      </c>
      <c r="K666" s="170" t="s">
        <v>345</v>
      </c>
      <c r="L666" s="170" t="s">
        <v>113</v>
      </c>
      <c r="M666" s="75"/>
      <c r="N666" s="75"/>
      <c r="O666" s="75"/>
    </row>
    <row r="667" spans="1:15" ht="15.6">
      <c r="A667" s="428">
        <v>46102</v>
      </c>
      <c r="B667" s="429" t="s">
        <v>1052</v>
      </c>
      <c r="C667" s="170" t="s">
        <v>337</v>
      </c>
      <c r="D667" s="429" t="s">
        <v>259</v>
      </c>
      <c r="E667" s="429">
        <v>500</v>
      </c>
      <c r="F667" s="454">
        <f t="shared" si="10"/>
        <v>0.93386376795353099</v>
      </c>
      <c r="G667" s="239">
        <v>535.41</v>
      </c>
      <c r="H667" s="429" t="s">
        <v>123</v>
      </c>
      <c r="I667" s="429" t="s">
        <v>550</v>
      </c>
      <c r="J667" s="170" t="s">
        <v>96</v>
      </c>
      <c r="K667" s="170" t="s">
        <v>345</v>
      </c>
      <c r="L667" s="170" t="s">
        <v>113</v>
      </c>
      <c r="M667" s="75"/>
      <c r="N667" s="75"/>
      <c r="O667" s="75"/>
    </row>
    <row r="668" spans="1:15" ht="15.6">
      <c r="A668" s="428">
        <v>46102</v>
      </c>
      <c r="B668" s="429" t="s">
        <v>1052</v>
      </c>
      <c r="C668" s="170" t="s">
        <v>337</v>
      </c>
      <c r="D668" s="429" t="s">
        <v>259</v>
      </c>
      <c r="E668" s="429">
        <v>500</v>
      </c>
      <c r="F668" s="454">
        <f t="shared" si="10"/>
        <v>0.93386376795353099</v>
      </c>
      <c r="G668" s="239">
        <v>535.41</v>
      </c>
      <c r="H668" s="429" t="s">
        <v>123</v>
      </c>
      <c r="I668" s="429" t="s">
        <v>550</v>
      </c>
      <c r="J668" s="170" t="s">
        <v>96</v>
      </c>
      <c r="K668" s="170" t="s">
        <v>345</v>
      </c>
      <c r="L668" s="170" t="s">
        <v>113</v>
      </c>
      <c r="M668" s="75"/>
      <c r="N668" s="75"/>
      <c r="O668" s="75"/>
    </row>
    <row r="669" spans="1:15" ht="15.6">
      <c r="A669" s="428">
        <v>46102</v>
      </c>
      <c r="B669" s="429" t="s">
        <v>1052</v>
      </c>
      <c r="C669" s="170" t="s">
        <v>337</v>
      </c>
      <c r="D669" s="429" t="s">
        <v>259</v>
      </c>
      <c r="E669" s="429">
        <v>500</v>
      </c>
      <c r="F669" s="454">
        <f t="shared" si="10"/>
        <v>0.93386376795353099</v>
      </c>
      <c r="G669" s="239">
        <v>535.41</v>
      </c>
      <c r="H669" s="429" t="s">
        <v>123</v>
      </c>
      <c r="I669" s="429" t="s">
        <v>550</v>
      </c>
      <c r="J669" s="170" t="s">
        <v>96</v>
      </c>
      <c r="K669" s="170" t="s">
        <v>345</v>
      </c>
      <c r="L669" s="170" t="s">
        <v>113</v>
      </c>
      <c r="M669" s="75"/>
      <c r="N669" s="75"/>
      <c r="O669" s="75"/>
    </row>
    <row r="670" spans="1:15" ht="15.6">
      <c r="A670" s="428">
        <v>46102</v>
      </c>
      <c r="B670" s="429" t="s">
        <v>1052</v>
      </c>
      <c r="C670" s="170" t="s">
        <v>337</v>
      </c>
      <c r="D670" s="429" t="s">
        <v>259</v>
      </c>
      <c r="E670" s="429">
        <v>500</v>
      </c>
      <c r="F670" s="454">
        <f t="shared" si="10"/>
        <v>0.93386376795353099</v>
      </c>
      <c r="G670" s="239">
        <v>535.41</v>
      </c>
      <c r="H670" s="429" t="s">
        <v>123</v>
      </c>
      <c r="I670" s="429" t="s">
        <v>550</v>
      </c>
      <c r="J670" s="170" t="s">
        <v>96</v>
      </c>
      <c r="K670" s="170" t="s">
        <v>345</v>
      </c>
      <c r="L670" s="170" t="s">
        <v>113</v>
      </c>
      <c r="M670" s="75"/>
      <c r="N670" s="75"/>
      <c r="O670" s="75"/>
    </row>
    <row r="671" spans="1:15" ht="15.6">
      <c r="A671" s="453">
        <v>46102</v>
      </c>
      <c r="B671" s="170" t="s">
        <v>1034</v>
      </c>
      <c r="C671" s="170" t="s">
        <v>406</v>
      </c>
      <c r="D671" s="170" t="s">
        <v>259</v>
      </c>
      <c r="E671" s="170">
        <v>40000</v>
      </c>
      <c r="F671" s="454">
        <f t="shared" ref="F671:F734" si="11">E671/G671</f>
        <v>74.709101436282481</v>
      </c>
      <c r="G671" s="239">
        <v>535.41</v>
      </c>
      <c r="H671" s="170" t="s">
        <v>122</v>
      </c>
      <c r="I671" s="242" t="s">
        <v>623</v>
      </c>
      <c r="J671" s="170" t="s">
        <v>96</v>
      </c>
      <c r="K671" s="170" t="s">
        <v>345</v>
      </c>
      <c r="L671" s="170" t="s">
        <v>113</v>
      </c>
      <c r="M671" s="75"/>
      <c r="N671" s="75"/>
      <c r="O671" s="75"/>
    </row>
    <row r="672" spans="1:15" ht="15.6">
      <c r="A672" s="457">
        <v>46102</v>
      </c>
      <c r="B672" s="242" t="s">
        <v>1025</v>
      </c>
      <c r="C672" s="170" t="s">
        <v>337</v>
      </c>
      <c r="D672" s="242" t="s">
        <v>259</v>
      </c>
      <c r="E672" s="242">
        <v>500</v>
      </c>
      <c r="F672" s="454">
        <f t="shared" si="11"/>
        <v>0.93386376795353099</v>
      </c>
      <c r="G672" s="239">
        <v>535.41</v>
      </c>
      <c r="H672" s="242" t="s">
        <v>122</v>
      </c>
      <c r="I672" s="242" t="s">
        <v>594</v>
      </c>
      <c r="J672" s="170" t="s">
        <v>96</v>
      </c>
      <c r="K672" s="170" t="s">
        <v>345</v>
      </c>
      <c r="L672" s="170" t="s">
        <v>113</v>
      </c>
      <c r="M672" s="75"/>
      <c r="N672" s="75"/>
      <c r="O672" s="75"/>
    </row>
    <row r="673" spans="1:15" ht="15.6">
      <c r="A673" s="453">
        <v>46102</v>
      </c>
      <c r="B673" s="170" t="s">
        <v>1067</v>
      </c>
      <c r="C673" s="242" t="s">
        <v>402</v>
      </c>
      <c r="D673" s="170" t="s">
        <v>259</v>
      </c>
      <c r="E673" s="170">
        <v>2000</v>
      </c>
      <c r="F673" s="454">
        <f t="shared" si="11"/>
        <v>3.735455071814124</v>
      </c>
      <c r="G673" s="239">
        <v>535.41</v>
      </c>
      <c r="H673" s="170" t="s">
        <v>122</v>
      </c>
      <c r="I673" s="242" t="s">
        <v>624</v>
      </c>
      <c r="J673" s="170" t="s">
        <v>96</v>
      </c>
      <c r="K673" s="170" t="s">
        <v>345</v>
      </c>
      <c r="L673" s="170" t="s">
        <v>113</v>
      </c>
      <c r="M673" s="75"/>
      <c r="N673" s="75"/>
      <c r="O673" s="75"/>
    </row>
    <row r="674" spans="1:15" ht="15.6">
      <c r="A674" s="457">
        <v>46102</v>
      </c>
      <c r="B674" s="242" t="s">
        <v>1068</v>
      </c>
      <c r="C674" s="170" t="s">
        <v>337</v>
      </c>
      <c r="D674" s="242" t="s">
        <v>259</v>
      </c>
      <c r="E674" s="242">
        <v>1000</v>
      </c>
      <c r="F674" s="454">
        <f t="shared" si="11"/>
        <v>1.867727535907062</v>
      </c>
      <c r="G674" s="239">
        <v>535.41</v>
      </c>
      <c r="H674" s="242" t="s">
        <v>122</v>
      </c>
      <c r="I674" s="242" t="s">
        <v>594</v>
      </c>
      <c r="J674" s="170" t="s">
        <v>96</v>
      </c>
      <c r="K674" s="170" t="s">
        <v>345</v>
      </c>
      <c r="L674" s="170" t="s">
        <v>113</v>
      </c>
      <c r="M674" s="75"/>
      <c r="N674" s="75"/>
      <c r="O674" s="75"/>
    </row>
    <row r="675" spans="1:15" ht="15.6">
      <c r="A675" s="457">
        <v>46102</v>
      </c>
      <c r="B675" s="242" t="s">
        <v>1027</v>
      </c>
      <c r="C675" s="170" t="s">
        <v>337</v>
      </c>
      <c r="D675" s="242" t="s">
        <v>259</v>
      </c>
      <c r="E675" s="242">
        <v>500</v>
      </c>
      <c r="F675" s="454">
        <f t="shared" si="11"/>
        <v>0.93386376795353099</v>
      </c>
      <c r="G675" s="239">
        <v>535.41</v>
      </c>
      <c r="H675" s="242" t="s">
        <v>122</v>
      </c>
      <c r="I675" s="242" t="s">
        <v>594</v>
      </c>
      <c r="J675" s="170" t="s">
        <v>96</v>
      </c>
      <c r="K675" s="170" t="s">
        <v>345</v>
      </c>
      <c r="L675" s="170" t="s">
        <v>113</v>
      </c>
      <c r="M675" s="75"/>
      <c r="N675" s="75"/>
      <c r="O675" s="75"/>
    </row>
    <row r="676" spans="1:15" ht="15.6">
      <c r="A676" s="457">
        <v>46102</v>
      </c>
      <c r="B676" s="242" t="s">
        <v>1027</v>
      </c>
      <c r="C676" s="170" t="s">
        <v>337</v>
      </c>
      <c r="D676" s="242" t="s">
        <v>259</v>
      </c>
      <c r="E676" s="242">
        <v>500</v>
      </c>
      <c r="F676" s="454">
        <f t="shared" si="11"/>
        <v>0.93386376795353099</v>
      </c>
      <c r="G676" s="239">
        <v>535.41</v>
      </c>
      <c r="H676" s="242" t="s">
        <v>122</v>
      </c>
      <c r="I676" s="242" t="s">
        <v>594</v>
      </c>
      <c r="J676" s="170" t="s">
        <v>96</v>
      </c>
      <c r="K676" s="170" t="s">
        <v>345</v>
      </c>
      <c r="L676" s="170" t="s">
        <v>113</v>
      </c>
      <c r="M676" s="75"/>
      <c r="N676" s="75"/>
      <c r="O676" s="75"/>
    </row>
    <row r="677" spans="1:15" ht="15.6">
      <c r="A677" s="457">
        <v>46102</v>
      </c>
      <c r="B677" s="242" t="s">
        <v>1069</v>
      </c>
      <c r="C677" s="242" t="s">
        <v>542</v>
      </c>
      <c r="D677" s="242" t="s">
        <v>259</v>
      </c>
      <c r="E677" s="242">
        <v>70000</v>
      </c>
      <c r="F677" s="454">
        <f t="shared" si="11"/>
        <v>130.74092751349434</v>
      </c>
      <c r="G677" s="239">
        <v>535.41</v>
      </c>
      <c r="H677" s="242" t="s">
        <v>131</v>
      </c>
      <c r="I677" s="242" t="s">
        <v>679</v>
      </c>
      <c r="J677" s="170" t="s">
        <v>96</v>
      </c>
      <c r="K677" s="170" t="s">
        <v>345</v>
      </c>
      <c r="L677" s="170" t="s">
        <v>113</v>
      </c>
      <c r="M677" s="75"/>
      <c r="N677" s="75"/>
      <c r="O677" s="75"/>
    </row>
    <row r="678" spans="1:15" ht="15.6">
      <c r="A678" s="457">
        <v>46102</v>
      </c>
      <c r="B678" s="242" t="s">
        <v>1029</v>
      </c>
      <c r="C678" s="170" t="s">
        <v>337</v>
      </c>
      <c r="D678" s="242" t="s">
        <v>259</v>
      </c>
      <c r="E678" s="242">
        <v>2500</v>
      </c>
      <c r="F678" s="454">
        <f t="shared" si="11"/>
        <v>4.669318839767655</v>
      </c>
      <c r="G678" s="239">
        <v>535.41</v>
      </c>
      <c r="H678" s="242" t="s">
        <v>131</v>
      </c>
      <c r="I678" s="242" t="s">
        <v>653</v>
      </c>
      <c r="J678" s="170" t="s">
        <v>96</v>
      </c>
      <c r="K678" s="170" t="s">
        <v>345</v>
      </c>
      <c r="L678" s="170" t="s">
        <v>113</v>
      </c>
      <c r="M678" s="75"/>
      <c r="N678" s="75"/>
      <c r="O678" s="75"/>
    </row>
    <row r="679" spans="1:15" ht="15.6">
      <c r="A679" s="457">
        <v>46102</v>
      </c>
      <c r="B679" s="242" t="s">
        <v>1027</v>
      </c>
      <c r="C679" s="170" t="s">
        <v>337</v>
      </c>
      <c r="D679" s="242" t="s">
        <v>259</v>
      </c>
      <c r="E679" s="242">
        <v>500</v>
      </c>
      <c r="F679" s="454">
        <f t="shared" si="11"/>
        <v>0.93386376795353099</v>
      </c>
      <c r="G679" s="239">
        <v>535.41</v>
      </c>
      <c r="H679" s="242" t="s">
        <v>131</v>
      </c>
      <c r="I679" s="242" t="s">
        <v>653</v>
      </c>
      <c r="J679" s="170" t="s">
        <v>96</v>
      </c>
      <c r="K679" s="170" t="s">
        <v>345</v>
      </c>
      <c r="L679" s="170" t="s">
        <v>113</v>
      </c>
      <c r="M679" s="75"/>
      <c r="N679" s="75"/>
      <c r="O679" s="75"/>
    </row>
    <row r="680" spans="1:15" ht="15.6">
      <c r="A680" s="457">
        <v>46103</v>
      </c>
      <c r="B680" s="242" t="s">
        <v>1027</v>
      </c>
      <c r="C680" s="170" t="s">
        <v>337</v>
      </c>
      <c r="D680" s="242" t="s">
        <v>259</v>
      </c>
      <c r="E680" s="242">
        <v>500</v>
      </c>
      <c r="F680" s="454">
        <f t="shared" si="11"/>
        <v>0.93386376795353099</v>
      </c>
      <c r="G680" s="239">
        <v>535.41</v>
      </c>
      <c r="H680" s="242" t="s">
        <v>122</v>
      </c>
      <c r="I680" s="242" t="s">
        <v>594</v>
      </c>
      <c r="J680" s="170" t="s">
        <v>96</v>
      </c>
      <c r="K680" s="170" t="s">
        <v>345</v>
      </c>
      <c r="L680" s="170" t="s">
        <v>113</v>
      </c>
      <c r="M680" s="75"/>
      <c r="N680" s="75"/>
      <c r="O680" s="75"/>
    </row>
    <row r="681" spans="1:15" ht="15.6">
      <c r="A681" s="457">
        <v>46103</v>
      </c>
      <c r="B681" s="170" t="s">
        <v>1048</v>
      </c>
      <c r="C681" s="242" t="s">
        <v>406</v>
      </c>
      <c r="D681" s="242" t="s">
        <v>259</v>
      </c>
      <c r="E681" s="242">
        <v>10000</v>
      </c>
      <c r="F681" s="454">
        <f t="shared" si="11"/>
        <v>18.67727535907062</v>
      </c>
      <c r="G681" s="239">
        <v>535.41</v>
      </c>
      <c r="H681" s="242" t="s">
        <v>122</v>
      </c>
      <c r="I681" s="242" t="s">
        <v>1017</v>
      </c>
      <c r="J681" s="170" t="s">
        <v>96</v>
      </c>
      <c r="K681" s="170" t="s">
        <v>345</v>
      </c>
      <c r="L681" s="170" t="s">
        <v>113</v>
      </c>
      <c r="M681" s="75"/>
      <c r="N681" s="75"/>
      <c r="O681" s="75"/>
    </row>
    <row r="682" spans="1:15" ht="15.6">
      <c r="A682" s="453">
        <v>46103</v>
      </c>
      <c r="B682" s="170" t="s">
        <v>1070</v>
      </c>
      <c r="C682" s="242" t="s">
        <v>402</v>
      </c>
      <c r="D682" s="170" t="s">
        <v>259</v>
      </c>
      <c r="E682" s="170">
        <v>20000</v>
      </c>
      <c r="F682" s="454">
        <f t="shared" si="11"/>
        <v>37.35455071814124</v>
      </c>
      <c r="G682" s="239">
        <v>535.41</v>
      </c>
      <c r="H682" s="170" t="s">
        <v>122</v>
      </c>
      <c r="I682" s="242" t="s">
        <v>626</v>
      </c>
      <c r="J682" s="170" t="s">
        <v>96</v>
      </c>
      <c r="K682" s="170" t="s">
        <v>345</v>
      </c>
      <c r="L682" s="170" t="s">
        <v>113</v>
      </c>
      <c r="M682" s="75"/>
      <c r="N682" s="75"/>
      <c r="O682" s="75"/>
    </row>
    <row r="683" spans="1:15" ht="15.6">
      <c r="A683" s="457">
        <v>46103</v>
      </c>
      <c r="B683" s="242" t="s">
        <v>1027</v>
      </c>
      <c r="C683" s="170" t="s">
        <v>337</v>
      </c>
      <c r="D683" s="242" t="s">
        <v>259</v>
      </c>
      <c r="E683" s="242">
        <v>500</v>
      </c>
      <c r="F683" s="454">
        <f t="shared" si="11"/>
        <v>0.93386376795353099</v>
      </c>
      <c r="G683" s="239">
        <v>535.41</v>
      </c>
      <c r="H683" s="242" t="s">
        <v>131</v>
      </c>
      <c r="I683" s="242" t="s">
        <v>653</v>
      </c>
      <c r="J683" s="170" t="s">
        <v>96</v>
      </c>
      <c r="K683" s="170" t="s">
        <v>345</v>
      </c>
      <c r="L683" s="170" t="s">
        <v>113</v>
      </c>
      <c r="M683" s="75"/>
      <c r="N683" s="75"/>
      <c r="O683" s="75"/>
    </row>
    <row r="684" spans="1:15" ht="15.6">
      <c r="A684" s="457">
        <v>46103</v>
      </c>
      <c r="B684" s="242" t="s">
        <v>1027</v>
      </c>
      <c r="C684" s="170" t="s">
        <v>337</v>
      </c>
      <c r="D684" s="242" t="s">
        <v>259</v>
      </c>
      <c r="E684" s="242">
        <v>500</v>
      </c>
      <c r="F684" s="454">
        <f t="shared" si="11"/>
        <v>0.93386376795353099</v>
      </c>
      <c r="G684" s="239">
        <v>535.41</v>
      </c>
      <c r="H684" s="242" t="s">
        <v>131</v>
      </c>
      <c r="I684" s="242" t="s">
        <v>653</v>
      </c>
      <c r="J684" s="170" t="s">
        <v>96</v>
      </c>
      <c r="K684" s="170" t="s">
        <v>345</v>
      </c>
      <c r="L684" s="170" t="s">
        <v>113</v>
      </c>
      <c r="M684" s="75"/>
      <c r="N684" s="75"/>
      <c r="O684" s="75"/>
    </row>
    <row r="685" spans="1:15" ht="15.6">
      <c r="A685" s="457">
        <v>46104</v>
      </c>
      <c r="B685" s="242" t="s">
        <v>371</v>
      </c>
      <c r="C685" s="170" t="s">
        <v>337</v>
      </c>
      <c r="D685" s="458" t="s">
        <v>99</v>
      </c>
      <c r="E685" s="242">
        <v>1000</v>
      </c>
      <c r="F685" s="454">
        <f t="shared" si="11"/>
        <v>1.9254803020356539</v>
      </c>
      <c r="G685" s="239">
        <v>519.35093749999999</v>
      </c>
      <c r="H685" s="459" t="s">
        <v>111</v>
      </c>
      <c r="I685" s="170" t="s">
        <v>380</v>
      </c>
      <c r="J685" s="170" t="s">
        <v>96</v>
      </c>
      <c r="K685" s="170" t="s">
        <v>345</v>
      </c>
      <c r="L685" s="170" t="s">
        <v>113</v>
      </c>
      <c r="M685" s="361"/>
      <c r="N685" s="361"/>
      <c r="O685" s="271"/>
    </row>
    <row r="686" spans="1:15" ht="15.6">
      <c r="A686" s="457">
        <v>46104</v>
      </c>
      <c r="B686" s="242" t="s">
        <v>366</v>
      </c>
      <c r="C686" s="170" t="s">
        <v>337</v>
      </c>
      <c r="D686" s="458" t="s">
        <v>99</v>
      </c>
      <c r="E686" s="242">
        <v>1000</v>
      </c>
      <c r="F686" s="454">
        <f t="shared" si="11"/>
        <v>1.9254803020356539</v>
      </c>
      <c r="G686" s="239">
        <v>519.35093749999999</v>
      </c>
      <c r="H686" s="459" t="s">
        <v>111</v>
      </c>
      <c r="I686" s="170" t="s">
        <v>380</v>
      </c>
      <c r="J686" s="170" t="s">
        <v>96</v>
      </c>
      <c r="K686" s="170" t="s">
        <v>345</v>
      </c>
      <c r="L686" s="170" t="s">
        <v>113</v>
      </c>
      <c r="M686" s="361"/>
      <c r="N686" s="361"/>
      <c r="O686" s="271"/>
    </row>
    <row r="687" spans="1:15" ht="15.6">
      <c r="A687" s="457">
        <v>46104</v>
      </c>
      <c r="B687" s="242" t="s">
        <v>369</v>
      </c>
      <c r="C687" s="170" t="s">
        <v>337</v>
      </c>
      <c r="D687" s="458" t="s">
        <v>99</v>
      </c>
      <c r="E687" s="242">
        <v>1000</v>
      </c>
      <c r="F687" s="454">
        <f t="shared" si="11"/>
        <v>1.9254803020356539</v>
      </c>
      <c r="G687" s="239">
        <v>519.35093749999999</v>
      </c>
      <c r="H687" s="459" t="s">
        <v>111</v>
      </c>
      <c r="I687" s="170" t="s">
        <v>380</v>
      </c>
      <c r="J687" s="170" t="s">
        <v>96</v>
      </c>
      <c r="K687" s="170" t="s">
        <v>345</v>
      </c>
      <c r="L687" s="170" t="s">
        <v>113</v>
      </c>
      <c r="M687" s="361"/>
      <c r="N687" s="361"/>
      <c r="O687" s="271"/>
    </row>
    <row r="688" spans="1:15" ht="15.6">
      <c r="A688" s="457">
        <v>46104</v>
      </c>
      <c r="B688" s="242" t="s">
        <v>372</v>
      </c>
      <c r="C688" s="170" t="s">
        <v>337</v>
      </c>
      <c r="D688" s="458" t="s">
        <v>99</v>
      </c>
      <c r="E688" s="242">
        <v>1000</v>
      </c>
      <c r="F688" s="454">
        <f t="shared" si="11"/>
        <v>1.9254803020356539</v>
      </c>
      <c r="G688" s="239">
        <v>519.35093749999999</v>
      </c>
      <c r="H688" s="459" t="s">
        <v>111</v>
      </c>
      <c r="I688" s="170" t="s">
        <v>380</v>
      </c>
      <c r="J688" s="170" t="s">
        <v>96</v>
      </c>
      <c r="K688" s="170" t="s">
        <v>345</v>
      </c>
      <c r="L688" s="170" t="s">
        <v>113</v>
      </c>
      <c r="M688" s="361"/>
      <c r="N688" s="361"/>
      <c r="O688" s="271"/>
    </row>
    <row r="689" spans="1:15" ht="15.6">
      <c r="A689" s="457">
        <v>46104</v>
      </c>
      <c r="B689" s="242" t="s">
        <v>373</v>
      </c>
      <c r="C689" s="170" t="s">
        <v>337</v>
      </c>
      <c r="D689" s="458" t="s">
        <v>99</v>
      </c>
      <c r="E689" s="242">
        <v>1000</v>
      </c>
      <c r="F689" s="454">
        <f t="shared" si="11"/>
        <v>1.9254803020356539</v>
      </c>
      <c r="G689" s="239">
        <v>519.35093749999999</v>
      </c>
      <c r="H689" s="459" t="s">
        <v>111</v>
      </c>
      <c r="I689" s="170" t="s">
        <v>380</v>
      </c>
      <c r="J689" s="170" t="s">
        <v>96</v>
      </c>
      <c r="K689" s="170" t="s">
        <v>345</v>
      </c>
      <c r="L689" s="170" t="s">
        <v>113</v>
      </c>
      <c r="M689" s="364"/>
      <c r="N689" s="364"/>
      <c r="O689" s="75"/>
    </row>
    <row r="690" spans="1:15" ht="15.6">
      <c r="A690" s="457">
        <v>46104</v>
      </c>
      <c r="B690" s="242" t="s">
        <v>189</v>
      </c>
      <c r="C690" s="170" t="s">
        <v>337</v>
      </c>
      <c r="D690" s="458" t="s">
        <v>99</v>
      </c>
      <c r="E690" s="242">
        <v>1000</v>
      </c>
      <c r="F690" s="454">
        <f t="shared" si="11"/>
        <v>1.9254803020356539</v>
      </c>
      <c r="G690" s="239">
        <v>519.35093749999999</v>
      </c>
      <c r="H690" s="459" t="s">
        <v>111</v>
      </c>
      <c r="I690" s="170" t="s">
        <v>380</v>
      </c>
      <c r="J690" s="170" t="s">
        <v>96</v>
      </c>
      <c r="K690" s="170" t="s">
        <v>345</v>
      </c>
      <c r="L690" s="170" t="s">
        <v>113</v>
      </c>
      <c r="M690" s="364"/>
      <c r="N690" s="364"/>
      <c r="O690" s="75"/>
    </row>
    <row r="691" spans="1:15" ht="15.6">
      <c r="A691" s="457">
        <v>46104</v>
      </c>
      <c r="B691" s="242" t="s">
        <v>475</v>
      </c>
      <c r="C691" s="242" t="s">
        <v>463</v>
      </c>
      <c r="D691" s="242" t="s">
        <v>98</v>
      </c>
      <c r="E691" s="460">
        <v>2520</v>
      </c>
      <c r="F691" s="454">
        <f t="shared" si="11"/>
        <v>4.706673390485796</v>
      </c>
      <c r="G691" s="239">
        <v>535.41</v>
      </c>
      <c r="H691" s="242" t="s">
        <v>168</v>
      </c>
      <c r="I691" s="170" t="s">
        <v>524</v>
      </c>
      <c r="J691" s="170" t="s">
        <v>96</v>
      </c>
      <c r="K691" s="170" t="s">
        <v>345</v>
      </c>
      <c r="L691" s="170" t="s">
        <v>113</v>
      </c>
      <c r="M691" s="75"/>
      <c r="N691" s="75"/>
      <c r="O691" s="75"/>
    </row>
    <row r="692" spans="1:15" ht="15.6">
      <c r="A692" s="467">
        <v>46104</v>
      </c>
      <c r="B692" s="242" t="s">
        <v>476</v>
      </c>
      <c r="C692" s="170" t="s">
        <v>337</v>
      </c>
      <c r="D692" s="242" t="s">
        <v>98</v>
      </c>
      <c r="E692" s="298">
        <v>1000</v>
      </c>
      <c r="F692" s="454">
        <f t="shared" si="11"/>
        <v>1.867727535907062</v>
      </c>
      <c r="G692" s="239">
        <v>535.41</v>
      </c>
      <c r="H692" s="242" t="s">
        <v>168</v>
      </c>
      <c r="I692" s="242" t="s">
        <v>510</v>
      </c>
      <c r="J692" s="170" t="s">
        <v>96</v>
      </c>
      <c r="K692" s="170" t="s">
        <v>345</v>
      </c>
      <c r="L692" s="170" t="s">
        <v>113</v>
      </c>
      <c r="M692" s="75"/>
      <c r="N692" s="75"/>
      <c r="O692" s="75"/>
    </row>
    <row r="693" spans="1:15" ht="15.6">
      <c r="A693" s="467">
        <v>46104</v>
      </c>
      <c r="B693" s="242" t="s">
        <v>470</v>
      </c>
      <c r="C693" s="170" t="s">
        <v>337</v>
      </c>
      <c r="D693" s="242" t="s">
        <v>98</v>
      </c>
      <c r="E693" s="298">
        <v>1000</v>
      </c>
      <c r="F693" s="454">
        <f t="shared" si="11"/>
        <v>1.867727535907062</v>
      </c>
      <c r="G693" s="239">
        <v>535.41</v>
      </c>
      <c r="H693" s="242" t="s">
        <v>168</v>
      </c>
      <c r="I693" s="242" t="s">
        <v>510</v>
      </c>
      <c r="J693" s="170" t="s">
        <v>96</v>
      </c>
      <c r="K693" s="170" t="s">
        <v>345</v>
      </c>
      <c r="L693" s="170" t="s">
        <v>113</v>
      </c>
      <c r="M693" s="75"/>
      <c r="N693" s="75"/>
      <c r="O693" s="75"/>
    </row>
    <row r="694" spans="1:15" ht="15.6">
      <c r="A694" s="453">
        <v>46104</v>
      </c>
      <c r="B694" s="170" t="s">
        <v>1027</v>
      </c>
      <c r="C694" s="242" t="s">
        <v>402</v>
      </c>
      <c r="D694" s="170" t="s">
        <v>259</v>
      </c>
      <c r="E694" s="170">
        <v>8000</v>
      </c>
      <c r="F694" s="454">
        <f t="shared" si="11"/>
        <v>14.941820287256496</v>
      </c>
      <c r="G694" s="239">
        <v>535.41</v>
      </c>
      <c r="H694" s="170" t="s">
        <v>122</v>
      </c>
      <c r="I694" s="242" t="s">
        <v>627</v>
      </c>
      <c r="J694" s="170" t="s">
        <v>96</v>
      </c>
      <c r="K694" s="170" t="s">
        <v>345</v>
      </c>
      <c r="L694" s="170" t="s">
        <v>113</v>
      </c>
      <c r="M694" s="75"/>
      <c r="N694" s="75"/>
      <c r="O694" s="75"/>
    </row>
    <row r="695" spans="1:15" ht="15.6">
      <c r="A695" s="453">
        <v>46104</v>
      </c>
      <c r="B695" s="170" t="s">
        <v>1055</v>
      </c>
      <c r="C695" s="170" t="s">
        <v>542</v>
      </c>
      <c r="D695" s="170" t="s">
        <v>259</v>
      </c>
      <c r="E695" s="170">
        <v>20000</v>
      </c>
      <c r="F695" s="454">
        <f t="shared" si="11"/>
        <v>37.35455071814124</v>
      </c>
      <c r="G695" s="239">
        <v>535.41</v>
      </c>
      <c r="H695" s="170" t="s">
        <v>131</v>
      </c>
      <c r="I695" s="170" t="s">
        <v>680</v>
      </c>
      <c r="J695" s="170" t="s">
        <v>96</v>
      </c>
      <c r="K695" s="170" t="s">
        <v>345</v>
      </c>
      <c r="L695" s="170" t="s">
        <v>113</v>
      </c>
      <c r="M695" s="75"/>
      <c r="N695" s="75"/>
      <c r="O695" s="75"/>
    </row>
    <row r="696" spans="1:15" ht="15.6">
      <c r="A696" s="457">
        <v>46104</v>
      </c>
      <c r="B696" s="242" t="s">
        <v>1027</v>
      </c>
      <c r="C696" s="170" t="s">
        <v>337</v>
      </c>
      <c r="D696" s="242" t="s">
        <v>259</v>
      </c>
      <c r="E696" s="242">
        <v>500</v>
      </c>
      <c r="F696" s="454">
        <f t="shared" si="11"/>
        <v>0.93386376795353099</v>
      </c>
      <c r="G696" s="239">
        <v>535.41</v>
      </c>
      <c r="H696" s="242" t="s">
        <v>131</v>
      </c>
      <c r="I696" s="242" t="s">
        <v>653</v>
      </c>
      <c r="J696" s="170" t="s">
        <v>96</v>
      </c>
      <c r="K696" s="170" t="s">
        <v>345</v>
      </c>
      <c r="L696" s="170" t="s">
        <v>113</v>
      </c>
      <c r="M696" s="75"/>
      <c r="N696" s="75"/>
      <c r="O696" s="75"/>
    </row>
    <row r="697" spans="1:15" ht="15.6">
      <c r="A697" s="453">
        <v>46104</v>
      </c>
      <c r="B697" s="170" t="s">
        <v>1043</v>
      </c>
      <c r="C697" s="242" t="s">
        <v>402</v>
      </c>
      <c r="D697" s="170" t="s">
        <v>259</v>
      </c>
      <c r="E697" s="170">
        <v>9000</v>
      </c>
      <c r="F697" s="454">
        <f t="shared" si="11"/>
        <v>16.809547823163559</v>
      </c>
      <c r="G697" s="239">
        <v>535.41</v>
      </c>
      <c r="H697" s="170" t="s">
        <v>131</v>
      </c>
      <c r="I697" s="170" t="s">
        <v>681</v>
      </c>
      <c r="J697" s="170" t="s">
        <v>96</v>
      </c>
      <c r="K697" s="170" t="s">
        <v>345</v>
      </c>
      <c r="L697" s="170" t="s">
        <v>113</v>
      </c>
      <c r="M697" s="75"/>
      <c r="N697" s="75"/>
      <c r="O697" s="75"/>
    </row>
    <row r="698" spans="1:15" ht="15.6">
      <c r="A698" s="457">
        <v>46104</v>
      </c>
      <c r="B698" s="242" t="s">
        <v>1031</v>
      </c>
      <c r="C698" s="170" t="s">
        <v>337</v>
      </c>
      <c r="D698" s="242" t="s">
        <v>259</v>
      </c>
      <c r="E698" s="242">
        <v>500</v>
      </c>
      <c r="F698" s="454">
        <f t="shared" si="11"/>
        <v>0.93386376795353099</v>
      </c>
      <c r="G698" s="239">
        <v>535.41</v>
      </c>
      <c r="H698" s="242" t="s">
        <v>131</v>
      </c>
      <c r="I698" s="242" t="s">
        <v>653</v>
      </c>
      <c r="J698" s="170" t="s">
        <v>96</v>
      </c>
      <c r="K698" s="170" t="s">
        <v>345</v>
      </c>
      <c r="L698" s="170" t="s">
        <v>113</v>
      </c>
      <c r="M698" s="75"/>
      <c r="N698" s="75"/>
      <c r="O698" s="75"/>
    </row>
    <row r="699" spans="1:15" ht="15.6">
      <c r="A699" s="457">
        <v>46104</v>
      </c>
      <c r="B699" s="242" t="s">
        <v>1027</v>
      </c>
      <c r="C699" s="170" t="s">
        <v>337</v>
      </c>
      <c r="D699" s="242" t="s">
        <v>259</v>
      </c>
      <c r="E699" s="242">
        <v>500</v>
      </c>
      <c r="F699" s="454">
        <f t="shared" si="11"/>
        <v>0.93386376795353099</v>
      </c>
      <c r="G699" s="239">
        <v>535.41</v>
      </c>
      <c r="H699" s="242" t="s">
        <v>131</v>
      </c>
      <c r="I699" s="242" t="s">
        <v>653</v>
      </c>
      <c r="J699" s="170" t="s">
        <v>96</v>
      </c>
      <c r="K699" s="170" t="s">
        <v>345</v>
      </c>
      <c r="L699" s="170" t="s">
        <v>113</v>
      </c>
      <c r="M699" s="75"/>
      <c r="N699" s="75"/>
      <c r="O699" s="75"/>
    </row>
    <row r="700" spans="1:15" ht="15.6">
      <c r="A700" s="457">
        <v>46104</v>
      </c>
      <c r="B700" s="242" t="s">
        <v>1027</v>
      </c>
      <c r="C700" s="170" t="s">
        <v>337</v>
      </c>
      <c r="D700" s="242" t="s">
        <v>259</v>
      </c>
      <c r="E700" s="242">
        <v>500</v>
      </c>
      <c r="F700" s="454">
        <f t="shared" si="11"/>
        <v>0.93386376795353099</v>
      </c>
      <c r="G700" s="239">
        <v>535.41</v>
      </c>
      <c r="H700" s="242" t="s">
        <v>131</v>
      </c>
      <c r="I700" s="242" t="s">
        <v>653</v>
      </c>
      <c r="J700" s="170" t="s">
        <v>96</v>
      </c>
      <c r="K700" s="170" t="s">
        <v>345</v>
      </c>
      <c r="L700" s="170" t="s">
        <v>113</v>
      </c>
      <c r="M700" s="75"/>
      <c r="N700" s="75"/>
      <c r="O700" s="75"/>
    </row>
    <row r="701" spans="1:15" ht="15.6">
      <c r="A701" s="457">
        <v>46104</v>
      </c>
      <c r="B701" s="242" t="s">
        <v>1027</v>
      </c>
      <c r="C701" s="170" t="s">
        <v>337</v>
      </c>
      <c r="D701" s="242" t="s">
        <v>259</v>
      </c>
      <c r="E701" s="242">
        <v>500</v>
      </c>
      <c r="F701" s="454">
        <f t="shared" si="11"/>
        <v>0.93386376795353099</v>
      </c>
      <c r="G701" s="239">
        <v>535.41</v>
      </c>
      <c r="H701" s="242" t="s">
        <v>131</v>
      </c>
      <c r="I701" s="242" t="s">
        <v>653</v>
      </c>
      <c r="J701" s="170" t="s">
        <v>96</v>
      </c>
      <c r="K701" s="170" t="s">
        <v>345</v>
      </c>
      <c r="L701" s="170" t="s">
        <v>113</v>
      </c>
      <c r="M701" s="75"/>
      <c r="N701" s="75"/>
      <c r="O701" s="75"/>
    </row>
    <row r="702" spans="1:15" ht="15.6">
      <c r="A702" s="457">
        <v>46104</v>
      </c>
      <c r="B702" s="242" t="s">
        <v>1071</v>
      </c>
      <c r="C702" s="242" t="s">
        <v>647</v>
      </c>
      <c r="D702" s="242" t="s">
        <v>259</v>
      </c>
      <c r="E702" s="242">
        <v>3400</v>
      </c>
      <c r="F702" s="454">
        <f t="shared" si="11"/>
        <v>6.3502736220840106</v>
      </c>
      <c r="G702" s="239">
        <v>535.41</v>
      </c>
      <c r="H702" s="242" t="s">
        <v>131</v>
      </c>
      <c r="I702" s="242" t="s">
        <v>658</v>
      </c>
      <c r="J702" s="170" t="s">
        <v>96</v>
      </c>
      <c r="K702" s="170" t="s">
        <v>345</v>
      </c>
      <c r="L702" s="170" t="s">
        <v>113</v>
      </c>
      <c r="M702" s="75"/>
      <c r="N702" s="75"/>
      <c r="O702" s="75"/>
    </row>
    <row r="703" spans="1:15" ht="15.6">
      <c r="A703" s="457">
        <v>46104</v>
      </c>
      <c r="B703" s="242" t="s">
        <v>1031</v>
      </c>
      <c r="C703" s="170" t="s">
        <v>337</v>
      </c>
      <c r="D703" s="242" t="s">
        <v>259</v>
      </c>
      <c r="E703" s="242">
        <v>500</v>
      </c>
      <c r="F703" s="454">
        <f t="shared" si="11"/>
        <v>0.93386376795353099</v>
      </c>
      <c r="G703" s="239">
        <v>535.41</v>
      </c>
      <c r="H703" s="242" t="s">
        <v>131</v>
      </c>
      <c r="I703" s="242" t="s">
        <v>653</v>
      </c>
      <c r="J703" s="170" t="s">
        <v>96</v>
      </c>
      <c r="K703" s="170" t="s">
        <v>345</v>
      </c>
      <c r="L703" s="170" t="s">
        <v>113</v>
      </c>
      <c r="M703" s="75"/>
      <c r="N703" s="75"/>
      <c r="O703" s="75"/>
    </row>
    <row r="704" spans="1:15" ht="15.6">
      <c r="A704" s="457">
        <v>46104</v>
      </c>
      <c r="B704" s="242" t="s">
        <v>1027</v>
      </c>
      <c r="C704" s="170" t="s">
        <v>337</v>
      </c>
      <c r="D704" s="242" t="s">
        <v>259</v>
      </c>
      <c r="E704" s="242">
        <v>500</v>
      </c>
      <c r="F704" s="454">
        <f t="shared" si="11"/>
        <v>0.93386376795353099</v>
      </c>
      <c r="G704" s="239">
        <v>535.41</v>
      </c>
      <c r="H704" s="242" t="s">
        <v>131</v>
      </c>
      <c r="I704" s="242" t="s">
        <v>653</v>
      </c>
      <c r="J704" s="170" t="s">
        <v>96</v>
      </c>
      <c r="K704" s="170" t="s">
        <v>345</v>
      </c>
      <c r="L704" s="170" t="s">
        <v>113</v>
      </c>
      <c r="M704" s="75"/>
      <c r="N704" s="75"/>
      <c r="O704" s="75"/>
    </row>
    <row r="705" spans="1:15" ht="15.6">
      <c r="A705" s="457">
        <v>46105</v>
      </c>
      <c r="B705" s="170" t="s">
        <v>355</v>
      </c>
      <c r="C705" s="170" t="s">
        <v>104</v>
      </c>
      <c r="D705" s="458" t="s">
        <v>99</v>
      </c>
      <c r="E705" s="460">
        <v>150000</v>
      </c>
      <c r="F705" s="454">
        <f t="shared" si="11"/>
        <v>281.57452760896928</v>
      </c>
      <c r="G705" s="239">
        <v>532.71864210781655</v>
      </c>
      <c r="H705" s="242" t="s">
        <v>111</v>
      </c>
      <c r="I705" s="170" t="s">
        <v>386</v>
      </c>
      <c r="J705" s="170" t="s">
        <v>96</v>
      </c>
      <c r="K705" s="170" t="s">
        <v>345</v>
      </c>
      <c r="L705" s="170" t="s">
        <v>113</v>
      </c>
      <c r="M705" s="361"/>
      <c r="N705" s="361"/>
      <c r="O705" s="247"/>
    </row>
    <row r="706" spans="1:15" ht="15.6">
      <c r="A706" s="457">
        <v>46105</v>
      </c>
      <c r="B706" s="242" t="s">
        <v>186</v>
      </c>
      <c r="C706" s="170" t="s">
        <v>337</v>
      </c>
      <c r="D706" s="458" t="s">
        <v>99</v>
      </c>
      <c r="E706" s="242">
        <v>1000</v>
      </c>
      <c r="F706" s="454">
        <f t="shared" si="11"/>
        <v>1.9254803020356539</v>
      </c>
      <c r="G706" s="239">
        <v>519.35093749999999</v>
      </c>
      <c r="H706" s="459" t="s">
        <v>111</v>
      </c>
      <c r="I706" s="170" t="s">
        <v>380</v>
      </c>
      <c r="J706" s="170" t="s">
        <v>96</v>
      </c>
      <c r="K706" s="170" t="s">
        <v>345</v>
      </c>
      <c r="L706" s="170" t="s">
        <v>113</v>
      </c>
      <c r="M706" s="364"/>
      <c r="N706" s="364"/>
      <c r="O706" s="75"/>
    </row>
    <row r="707" spans="1:15" ht="15.6">
      <c r="A707" s="457">
        <v>46105</v>
      </c>
      <c r="B707" s="242" t="s">
        <v>192</v>
      </c>
      <c r="C707" s="170" t="s">
        <v>337</v>
      </c>
      <c r="D707" s="458" t="s">
        <v>99</v>
      </c>
      <c r="E707" s="242">
        <v>1000</v>
      </c>
      <c r="F707" s="454">
        <f t="shared" si="11"/>
        <v>1.9254803020356539</v>
      </c>
      <c r="G707" s="239">
        <v>519.35093749999999</v>
      </c>
      <c r="H707" s="459" t="s">
        <v>111</v>
      </c>
      <c r="I707" s="170" t="s">
        <v>380</v>
      </c>
      <c r="J707" s="170" t="s">
        <v>96</v>
      </c>
      <c r="K707" s="170" t="s">
        <v>345</v>
      </c>
      <c r="L707" s="170" t="s">
        <v>113</v>
      </c>
      <c r="M707" s="361"/>
      <c r="N707" s="361"/>
      <c r="O707" s="271"/>
    </row>
    <row r="708" spans="1:15" ht="15.6">
      <c r="A708" s="457">
        <v>46105</v>
      </c>
      <c r="B708" s="456" t="s">
        <v>374</v>
      </c>
      <c r="C708" s="170" t="s">
        <v>110</v>
      </c>
      <c r="D708" s="232" t="s">
        <v>99</v>
      </c>
      <c r="E708" s="242">
        <v>10000</v>
      </c>
      <c r="F708" s="454">
        <f t="shared" si="11"/>
        <v>19.25480302035654</v>
      </c>
      <c r="G708" s="239">
        <v>519.35093749999999</v>
      </c>
      <c r="H708" s="459" t="s">
        <v>111</v>
      </c>
      <c r="I708" s="170" t="s">
        <v>392</v>
      </c>
      <c r="J708" s="170" t="s">
        <v>96</v>
      </c>
      <c r="K708" s="170" t="s">
        <v>345</v>
      </c>
      <c r="L708" s="170" t="s">
        <v>113</v>
      </c>
      <c r="M708" s="361"/>
      <c r="N708" s="361"/>
      <c r="O708" s="271"/>
    </row>
    <row r="709" spans="1:15" ht="15.6">
      <c r="A709" s="461">
        <v>46105</v>
      </c>
      <c r="B709" s="462" t="s">
        <v>398</v>
      </c>
      <c r="C709" s="462" t="s">
        <v>110</v>
      </c>
      <c r="D709" s="463" t="s">
        <v>97</v>
      </c>
      <c r="E709" s="464">
        <v>7500</v>
      </c>
      <c r="F709" s="454">
        <f t="shared" si="11"/>
        <v>14.007956519302965</v>
      </c>
      <c r="G709" s="239">
        <v>535.41</v>
      </c>
      <c r="H709" s="165" t="s">
        <v>128</v>
      </c>
      <c r="I709" s="464" t="s">
        <v>429</v>
      </c>
      <c r="J709" s="170" t="s">
        <v>96</v>
      </c>
      <c r="K709" s="170" t="s">
        <v>345</v>
      </c>
      <c r="L709" s="170" t="s">
        <v>113</v>
      </c>
      <c r="M709" s="75"/>
      <c r="N709" s="75"/>
      <c r="O709" s="75"/>
    </row>
    <row r="710" spans="1:15" ht="15.6">
      <c r="A710" s="467">
        <v>46105</v>
      </c>
      <c r="B710" s="242" t="s">
        <v>469</v>
      </c>
      <c r="C710" s="170" t="s">
        <v>337</v>
      </c>
      <c r="D710" s="242" t="s">
        <v>98</v>
      </c>
      <c r="E710" s="298">
        <v>1000</v>
      </c>
      <c r="F710" s="454">
        <f t="shared" si="11"/>
        <v>1.867727535907062</v>
      </c>
      <c r="G710" s="239">
        <v>535.41</v>
      </c>
      <c r="H710" s="242" t="s">
        <v>168</v>
      </c>
      <c r="I710" s="242" t="s">
        <v>510</v>
      </c>
      <c r="J710" s="170" t="s">
        <v>96</v>
      </c>
      <c r="K710" s="170" t="s">
        <v>345</v>
      </c>
      <c r="L710" s="170" t="s">
        <v>113</v>
      </c>
      <c r="M710" s="75"/>
      <c r="N710" s="75"/>
      <c r="O710" s="75"/>
    </row>
    <row r="711" spans="1:15" ht="15.6">
      <c r="A711" s="467">
        <v>46105</v>
      </c>
      <c r="B711" s="242" t="s">
        <v>477</v>
      </c>
      <c r="C711" s="170" t="s">
        <v>337</v>
      </c>
      <c r="D711" s="242" t="s">
        <v>98</v>
      </c>
      <c r="E711" s="298">
        <v>500</v>
      </c>
      <c r="F711" s="454">
        <f t="shared" si="11"/>
        <v>0.93386376795353099</v>
      </c>
      <c r="G711" s="239">
        <v>535.41</v>
      </c>
      <c r="H711" s="242" t="s">
        <v>168</v>
      </c>
      <c r="I711" s="242" t="s">
        <v>510</v>
      </c>
      <c r="J711" s="170" t="s">
        <v>96</v>
      </c>
      <c r="K711" s="170" t="s">
        <v>345</v>
      </c>
      <c r="L711" s="170" t="s">
        <v>113</v>
      </c>
      <c r="M711" s="75"/>
      <c r="N711" s="75"/>
      <c r="O711" s="75"/>
    </row>
    <row r="712" spans="1:15" ht="15.6">
      <c r="A712" s="467">
        <v>46105</v>
      </c>
      <c r="B712" s="242" t="s">
        <v>478</v>
      </c>
      <c r="C712" s="170" t="s">
        <v>337</v>
      </c>
      <c r="D712" s="242" t="s">
        <v>98</v>
      </c>
      <c r="E712" s="298">
        <v>1000</v>
      </c>
      <c r="F712" s="454">
        <f t="shared" si="11"/>
        <v>1.867727535907062</v>
      </c>
      <c r="G712" s="239">
        <v>535.41</v>
      </c>
      <c r="H712" s="242" t="s">
        <v>168</v>
      </c>
      <c r="I712" s="242" t="s">
        <v>510</v>
      </c>
      <c r="J712" s="170" t="s">
        <v>96</v>
      </c>
      <c r="K712" s="170" t="s">
        <v>345</v>
      </c>
      <c r="L712" s="170" t="s">
        <v>113</v>
      </c>
      <c r="M712" s="75"/>
      <c r="N712" s="75"/>
      <c r="O712" s="75"/>
    </row>
    <row r="713" spans="1:15" ht="15.6">
      <c r="A713" s="467">
        <v>46105</v>
      </c>
      <c r="B713" s="242" t="s">
        <v>479</v>
      </c>
      <c r="C713" s="242" t="s">
        <v>110</v>
      </c>
      <c r="D713" s="242" t="s">
        <v>99</v>
      </c>
      <c r="E713" s="298">
        <v>5000</v>
      </c>
      <c r="F713" s="454">
        <f t="shared" si="11"/>
        <v>9.3386376795353101</v>
      </c>
      <c r="G713" s="239">
        <v>535.41</v>
      </c>
      <c r="H713" s="242" t="s">
        <v>168</v>
      </c>
      <c r="I713" s="242" t="s">
        <v>525</v>
      </c>
      <c r="J713" s="170" t="s">
        <v>96</v>
      </c>
      <c r="K713" s="170" t="s">
        <v>345</v>
      </c>
      <c r="L713" s="170" t="s">
        <v>113</v>
      </c>
      <c r="M713" s="75"/>
      <c r="N713" s="75"/>
      <c r="O713" s="75"/>
    </row>
    <row r="714" spans="1:15" ht="15.6">
      <c r="A714" s="428">
        <v>46105</v>
      </c>
      <c r="B714" s="429" t="s">
        <v>1052</v>
      </c>
      <c r="C714" s="170" t="s">
        <v>337</v>
      </c>
      <c r="D714" s="429" t="s">
        <v>259</v>
      </c>
      <c r="E714" s="429">
        <v>500</v>
      </c>
      <c r="F714" s="454">
        <f t="shared" si="11"/>
        <v>0.93386376795353099</v>
      </c>
      <c r="G714" s="239">
        <v>535.41</v>
      </c>
      <c r="H714" s="429" t="s">
        <v>123</v>
      </c>
      <c r="I714" s="429" t="s">
        <v>550</v>
      </c>
      <c r="J714" s="170" t="s">
        <v>96</v>
      </c>
      <c r="K714" s="170" t="s">
        <v>345</v>
      </c>
      <c r="L714" s="170" t="s">
        <v>113</v>
      </c>
      <c r="M714" s="75"/>
      <c r="N714" s="75"/>
      <c r="O714" s="75"/>
    </row>
    <row r="715" spans="1:15" ht="15.6">
      <c r="A715" s="428">
        <v>46105</v>
      </c>
      <c r="B715" s="429" t="s">
        <v>1028</v>
      </c>
      <c r="C715" s="242" t="s">
        <v>402</v>
      </c>
      <c r="D715" s="429" t="s">
        <v>259</v>
      </c>
      <c r="E715" s="429">
        <v>3500</v>
      </c>
      <c r="F715" s="454">
        <f t="shared" si="11"/>
        <v>6.5370463756747172</v>
      </c>
      <c r="G715" s="239">
        <v>535.41</v>
      </c>
      <c r="H715" s="429" t="s">
        <v>123</v>
      </c>
      <c r="I715" s="429" t="s">
        <v>572</v>
      </c>
      <c r="J715" s="170" t="s">
        <v>96</v>
      </c>
      <c r="K715" s="170" t="s">
        <v>345</v>
      </c>
      <c r="L715" s="170" t="s">
        <v>113</v>
      </c>
      <c r="M715" s="75"/>
      <c r="N715" s="75"/>
      <c r="O715" s="75"/>
    </row>
    <row r="716" spans="1:15" ht="15.6">
      <c r="A716" s="428">
        <v>46105</v>
      </c>
      <c r="B716" s="429" t="s">
        <v>1043</v>
      </c>
      <c r="C716" s="242" t="s">
        <v>402</v>
      </c>
      <c r="D716" s="429" t="s">
        <v>259</v>
      </c>
      <c r="E716" s="429">
        <v>3500</v>
      </c>
      <c r="F716" s="454">
        <f t="shared" si="11"/>
        <v>6.5370463756747172</v>
      </c>
      <c r="G716" s="239">
        <v>535.41</v>
      </c>
      <c r="H716" s="429" t="s">
        <v>123</v>
      </c>
      <c r="I716" s="429" t="s">
        <v>573</v>
      </c>
      <c r="J716" s="170" t="s">
        <v>96</v>
      </c>
      <c r="K716" s="170" t="s">
        <v>345</v>
      </c>
      <c r="L716" s="170" t="s">
        <v>113</v>
      </c>
      <c r="M716" s="75"/>
      <c r="N716" s="75"/>
      <c r="O716" s="75"/>
    </row>
    <row r="717" spans="1:15" ht="15.6">
      <c r="A717" s="428">
        <v>46105</v>
      </c>
      <c r="B717" s="429" t="s">
        <v>1053</v>
      </c>
      <c r="C717" s="170" t="s">
        <v>337</v>
      </c>
      <c r="D717" s="429" t="s">
        <v>259</v>
      </c>
      <c r="E717" s="429">
        <v>500</v>
      </c>
      <c r="F717" s="454">
        <f t="shared" si="11"/>
        <v>0.93386376795353099</v>
      </c>
      <c r="G717" s="239">
        <v>535.41</v>
      </c>
      <c r="H717" s="429" t="s">
        <v>123</v>
      </c>
      <c r="I717" s="429" t="s">
        <v>550</v>
      </c>
      <c r="J717" s="170" t="s">
        <v>96</v>
      </c>
      <c r="K717" s="170" t="s">
        <v>345</v>
      </c>
      <c r="L717" s="170" t="s">
        <v>113</v>
      </c>
      <c r="M717" s="75"/>
      <c r="N717" s="75"/>
      <c r="O717" s="75"/>
    </row>
    <row r="718" spans="1:15" ht="15.6">
      <c r="A718" s="428">
        <v>46105</v>
      </c>
      <c r="B718" s="429" t="s">
        <v>1053</v>
      </c>
      <c r="C718" s="170" t="s">
        <v>337</v>
      </c>
      <c r="D718" s="429" t="s">
        <v>259</v>
      </c>
      <c r="E718" s="429">
        <v>500</v>
      </c>
      <c r="F718" s="454">
        <f t="shared" si="11"/>
        <v>0.93386376795353099</v>
      </c>
      <c r="G718" s="239">
        <v>535.41</v>
      </c>
      <c r="H718" s="429" t="s">
        <v>123</v>
      </c>
      <c r="I718" s="429" t="s">
        <v>550</v>
      </c>
      <c r="J718" s="170" t="s">
        <v>96</v>
      </c>
      <c r="K718" s="170" t="s">
        <v>345</v>
      </c>
      <c r="L718" s="170" t="s">
        <v>113</v>
      </c>
      <c r="M718" s="75"/>
      <c r="N718" s="75"/>
      <c r="O718" s="75"/>
    </row>
    <row r="719" spans="1:15" ht="15.6">
      <c r="A719" s="428">
        <v>46105</v>
      </c>
      <c r="B719" s="429" t="s">
        <v>1053</v>
      </c>
      <c r="C719" s="170" t="s">
        <v>337</v>
      </c>
      <c r="D719" s="429" t="s">
        <v>259</v>
      </c>
      <c r="E719" s="429">
        <v>500</v>
      </c>
      <c r="F719" s="454">
        <f t="shared" si="11"/>
        <v>0.93386376795353099</v>
      </c>
      <c r="G719" s="239">
        <v>535.41</v>
      </c>
      <c r="H719" s="429" t="s">
        <v>123</v>
      </c>
      <c r="I719" s="429" t="s">
        <v>550</v>
      </c>
      <c r="J719" s="170" t="s">
        <v>96</v>
      </c>
      <c r="K719" s="170" t="s">
        <v>345</v>
      </c>
      <c r="L719" s="170" t="s">
        <v>113</v>
      </c>
      <c r="M719" s="75"/>
      <c r="N719" s="75"/>
      <c r="O719" s="75"/>
    </row>
    <row r="720" spans="1:15" ht="15.6">
      <c r="A720" s="428">
        <v>46105</v>
      </c>
      <c r="B720" s="429" t="s">
        <v>540</v>
      </c>
      <c r="C720" s="429" t="s">
        <v>541</v>
      </c>
      <c r="D720" s="429" t="s">
        <v>259</v>
      </c>
      <c r="E720" s="429">
        <v>2000</v>
      </c>
      <c r="F720" s="454">
        <f t="shared" si="11"/>
        <v>3.735455071814124</v>
      </c>
      <c r="G720" s="239">
        <v>535.41</v>
      </c>
      <c r="H720" s="429" t="s">
        <v>123</v>
      </c>
      <c r="I720" s="429" t="s">
        <v>551</v>
      </c>
      <c r="J720" s="170" t="s">
        <v>96</v>
      </c>
      <c r="K720" s="170" t="s">
        <v>345</v>
      </c>
      <c r="L720" s="170" t="s">
        <v>113</v>
      </c>
      <c r="M720" s="75"/>
      <c r="N720" s="75"/>
      <c r="O720" s="75"/>
    </row>
    <row r="721" spans="1:15" ht="15.6">
      <c r="A721" s="428">
        <v>46105</v>
      </c>
      <c r="B721" s="165" t="s">
        <v>547</v>
      </c>
      <c r="C721" s="165" t="s">
        <v>110</v>
      </c>
      <c r="D721" s="165" t="s">
        <v>544</v>
      </c>
      <c r="E721" s="429">
        <v>7500</v>
      </c>
      <c r="F721" s="454">
        <f t="shared" si="11"/>
        <v>14.007956519302965</v>
      </c>
      <c r="G721" s="239">
        <v>535.41</v>
      </c>
      <c r="H721" s="429" t="s">
        <v>123</v>
      </c>
      <c r="I721" s="429" t="s">
        <v>574</v>
      </c>
      <c r="J721" s="170" t="s">
        <v>96</v>
      </c>
      <c r="K721" s="170" t="s">
        <v>345</v>
      </c>
      <c r="L721" s="170" t="s">
        <v>113</v>
      </c>
      <c r="M721" s="75"/>
      <c r="N721" s="75"/>
      <c r="O721" s="75"/>
    </row>
    <row r="722" spans="1:15" ht="15.6">
      <c r="A722" s="453">
        <v>46105</v>
      </c>
      <c r="B722" s="170" t="s">
        <v>1027</v>
      </c>
      <c r="C722" s="242" t="s">
        <v>402</v>
      </c>
      <c r="D722" s="170" t="s">
        <v>259</v>
      </c>
      <c r="E722" s="170">
        <v>2000</v>
      </c>
      <c r="F722" s="454">
        <f t="shared" si="11"/>
        <v>3.735455071814124</v>
      </c>
      <c r="G722" s="239">
        <v>535.41</v>
      </c>
      <c r="H722" s="170" t="s">
        <v>122</v>
      </c>
      <c r="I722" s="242" t="s">
        <v>628</v>
      </c>
      <c r="J722" s="170" t="s">
        <v>96</v>
      </c>
      <c r="K722" s="170" t="s">
        <v>345</v>
      </c>
      <c r="L722" s="170" t="s">
        <v>113</v>
      </c>
      <c r="M722" s="75"/>
      <c r="N722" s="75"/>
      <c r="O722" s="75"/>
    </row>
    <row r="723" spans="1:15" ht="15.6">
      <c r="A723" s="453">
        <v>46105</v>
      </c>
      <c r="B723" s="170" t="s">
        <v>1027</v>
      </c>
      <c r="C723" s="242" t="s">
        <v>402</v>
      </c>
      <c r="D723" s="170" t="s">
        <v>259</v>
      </c>
      <c r="E723" s="170">
        <v>6000</v>
      </c>
      <c r="F723" s="454">
        <f t="shared" si="11"/>
        <v>11.206365215442371</v>
      </c>
      <c r="G723" s="239">
        <v>535.41</v>
      </c>
      <c r="H723" s="170" t="s">
        <v>122</v>
      </c>
      <c r="I723" s="242" t="s">
        <v>629</v>
      </c>
      <c r="J723" s="170" t="s">
        <v>96</v>
      </c>
      <c r="K723" s="170" t="s">
        <v>345</v>
      </c>
      <c r="L723" s="170" t="s">
        <v>113</v>
      </c>
      <c r="M723" s="75"/>
      <c r="N723" s="75"/>
      <c r="O723" s="75"/>
    </row>
    <row r="724" spans="1:15" ht="15.6">
      <c r="A724" s="457">
        <v>46105</v>
      </c>
      <c r="B724" s="165" t="s">
        <v>592</v>
      </c>
      <c r="C724" s="165" t="s">
        <v>110</v>
      </c>
      <c r="D724" s="242" t="s">
        <v>259</v>
      </c>
      <c r="E724" s="242">
        <v>7500</v>
      </c>
      <c r="F724" s="454">
        <f t="shared" si="11"/>
        <v>14.007956519302965</v>
      </c>
      <c r="G724" s="239">
        <v>535.41</v>
      </c>
      <c r="H724" s="242" t="s">
        <v>122</v>
      </c>
      <c r="I724" s="242" t="s">
        <v>630</v>
      </c>
      <c r="J724" s="170" t="s">
        <v>96</v>
      </c>
      <c r="K724" s="170" t="s">
        <v>345</v>
      </c>
      <c r="L724" s="170" t="s">
        <v>113</v>
      </c>
      <c r="M724" s="75"/>
      <c r="N724" s="75"/>
      <c r="O724" s="75"/>
    </row>
    <row r="725" spans="1:15" ht="15.6">
      <c r="A725" s="457">
        <v>46105</v>
      </c>
      <c r="B725" s="242" t="s">
        <v>1027</v>
      </c>
      <c r="C725" s="170" t="s">
        <v>337</v>
      </c>
      <c r="D725" s="242" t="s">
        <v>259</v>
      </c>
      <c r="E725" s="242">
        <v>500</v>
      </c>
      <c r="F725" s="454">
        <f t="shared" si="11"/>
        <v>0.93386376795353099</v>
      </c>
      <c r="G725" s="239">
        <v>535.41</v>
      </c>
      <c r="H725" s="242" t="s">
        <v>131</v>
      </c>
      <c r="I725" s="242" t="s">
        <v>653</v>
      </c>
      <c r="J725" s="170" t="s">
        <v>96</v>
      </c>
      <c r="K725" s="170" t="s">
        <v>345</v>
      </c>
      <c r="L725" s="170" t="s">
        <v>113</v>
      </c>
      <c r="M725" s="75"/>
      <c r="N725" s="75"/>
      <c r="O725" s="75"/>
    </row>
    <row r="726" spans="1:15" ht="15.6">
      <c r="A726" s="457">
        <v>46105</v>
      </c>
      <c r="B726" s="242" t="s">
        <v>1027</v>
      </c>
      <c r="C726" s="170" t="s">
        <v>337</v>
      </c>
      <c r="D726" s="242" t="s">
        <v>259</v>
      </c>
      <c r="E726" s="242">
        <v>3500</v>
      </c>
      <c r="F726" s="454">
        <f t="shared" si="11"/>
        <v>6.5370463756747172</v>
      </c>
      <c r="G726" s="239">
        <v>535.41</v>
      </c>
      <c r="H726" s="242" t="s">
        <v>131</v>
      </c>
      <c r="I726" s="242" t="s">
        <v>653</v>
      </c>
      <c r="J726" s="170" t="s">
        <v>96</v>
      </c>
      <c r="K726" s="170" t="s">
        <v>345</v>
      </c>
      <c r="L726" s="170" t="s">
        <v>113</v>
      </c>
      <c r="M726" s="75"/>
      <c r="N726" s="75"/>
      <c r="O726" s="75"/>
    </row>
    <row r="727" spans="1:15" ht="15.6">
      <c r="A727" s="457">
        <v>46105</v>
      </c>
      <c r="B727" s="242" t="s">
        <v>1050</v>
      </c>
      <c r="C727" s="242" t="s">
        <v>647</v>
      </c>
      <c r="D727" s="242" t="s">
        <v>259</v>
      </c>
      <c r="E727" s="242">
        <v>3000</v>
      </c>
      <c r="F727" s="454">
        <f t="shared" si="11"/>
        <v>5.6031826077211857</v>
      </c>
      <c r="G727" s="239">
        <v>535.41</v>
      </c>
      <c r="H727" s="242" t="s">
        <v>131</v>
      </c>
      <c r="I727" s="242" t="s">
        <v>658</v>
      </c>
      <c r="J727" s="170" t="s">
        <v>96</v>
      </c>
      <c r="K727" s="170" t="s">
        <v>345</v>
      </c>
      <c r="L727" s="170" t="s">
        <v>113</v>
      </c>
      <c r="M727" s="75"/>
      <c r="N727" s="75"/>
      <c r="O727" s="75"/>
    </row>
    <row r="728" spans="1:15" ht="15.6">
      <c r="A728" s="457">
        <v>46105</v>
      </c>
      <c r="B728" s="242" t="s">
        <v>1027</v>
      </c>
      <c r="C728" s="170" t="s">
        <v>337</v>
      </c>
      <c r="D728" s="242" t="s">
        <v>259</v>
      </c>
      <c r="E728" s="242">
        <v>3500</v>
      </c>
      <c r="F728" s="454">
        <f t="shared" si="11"/>
        <v>6.5370463756747172</v>
      </c>
      <c r="G728" s="239">
        <v>535.41</v>
      </c>
      <c r="H728" s="242" t="s">
        <v>131</v>
      </c>
      <c r="I728" s="242" t="s">
        <v>653</v>
      </c>
      <c r="J728" s="170" t="s">
        <v>96</v>
      </c>
      <c r="K728" s="170" t="s">
        <v>345</v>
      </c>
      <c r="L728" s="170" t="s">
        <v>113</v>
      </c>
      <c r="M728" s="75"/>
      <c r="N728" s="75"/>
      <c r="O728" s="75"/>
    </row>
    <row r="729" spans="1:15" ht="15.6">
      <c r="A729" s="457">
        <v>46105</v>
      </c>
      <c r="B729" s="242" t="s">
        <v>1027</v>
      </c>
      <c r="C729" s="170" t="s">
        <v>337</v>
      </c>
      <c r="D729" s="242" t="s">
        <v>259</v>
      </c>
      <c r="E729" s="242">
        <v>500</v>
      </c>
      <c r="F729" s="454">
        <f t="shared" si="11"/>
        <v>0.93386376795353099</v>
      </c>
      <c r="G729" s="239">
        <v>535.41</v>
      </c>
      <c r="H729" s="242" t="s">
        <v>131</v>
      </c>
      <c r="I729" s="242" t="s">
        <v>653</v>
      </c>
      <c r="J729" s="170" t="s">
        <v>96</v>
      </c>
      <c r="K729" s="170" t="s">
        <v>345</v>
      </c>
      <c r="L729" s="170" t="s">
        <v>113</v>
      </c>
      <c r="M729" s="75"/>
      <c r="N729" s="75"/>
      <c r="O729" s="75"/>
    </row>
    <row r="730" spans="1:15" ht="15.6">
      <c r="A730" s="453">
        <v>46105</v>
      </c>
      <c r="B730" s="170" t="s">
        <v>650</v>
      </c>
      <c r="C730" s="170" t="s">
        <v>110</v>
      </c>
      <c r="D730" s="170" t="s">
        <v>259</v>
      </c>
      <c r="E730" s="170">
        <v>7500</v>
      </c>
      <c r="F730" s="454">
        <f t="shared" si="11"/>
        <v>14.007956519302965</v>
      </c>
      <c r="G730" s="239">
        <v>535.41</v>
      </c>
      <c r="H730" s="170" t="s">
        <v>131</v>
      </c>
      <c r="I730" s="170" t="s">
        <v>683</v>
      </c>
      <c r="J730" s="170" t="s">
        <v>96</v>
      </c>
      <c r="K730" s="170" t="s">
        <v>345</v>
      </c>
      <c r="L730" s="170" t="s">
        <v>113</v>
      </c>
      <c r="M730" s="75"/>
      <c r="N730" s="75"/>
      <c r="O730" s="75"/>
    </row>
    <row r="731" spans="1:15" ht="15.6">
      <c r="A731" s="468">
        <v>46105</v>
      </c>
      <c r="B731" s="170" t="s">
        <v>701</v>
      </c>
      <c r="C731" s="456" t="s">
        <v>110</v>
      </c>
      <c r="D731" s="456" t="s">
        <v>97</v>
      </c>
      <c r="E731" s="367">
        <v>7500</v>
      </c>
      <c r="F731" s="454">
        <f t="shared" si="11"/>
        <v>14.007956519302965</v>
      </c>
      <c r="G731" s="239">
        <v>535.41</v>
      </c>
      <c r="H731" s="456" t="s">
        <v>134</v>
      </c>
      <c r="I731" s="170" t="s">
        <v>733</v>
      </c>
      <c r="J731" s="170" t="s">
        <v>96</v>
      </c>
      <c r="K731" s="170" t="s">
        <v>345</v>
      </c>
      <c r="L731" s="170" t="s">
        <v>113</v>
      </c>
      <c r="M731" s="75"/>
      <c r="N731" s="75"/>
      <c r="O731" s="75"/>
    </row>
    <row r="732" spans="1:15" ht="15.6">
      <c r="A732" s="457">
        <v>46105</v>
      </c>
      <c r="B732" s="462" t="s">
        <v>779</v>
      </c>
      <c r="C732" s="462" t="s">
        <v>110</v>
      </c>
      <c r="D732" s="469" t="s">
        <v>100</v>
      </c>
      <c r="E732" s="299">
        <v>7500</v>
      </c>
      <c r="F732" s="454">
        <f t="shared" si="11"/>
        <v>14.007956519302965</v>
      </c>
      <c r="G732" s="239">
        <v>535.41</v>
      </c>
      <c r="H732" s="242" t="s">
        <v>129</v>
      </c>
      <c r="I732" s="242" t="s">
        <v>794</v>
      </c>
      <c r="J732" s="170" t="s">
        <v>96</v>
      </c>
      <c r="K732" s="170" t="s">
        <v>345</v>
      </c>
      <c r="L732" s="170" t="s">
        <v>113</v>
      </c>
      <c r="M732" s="75"/>
      <c r="N732" s="75"/>
      <c r="O732" s="75"/>
    </row>
    <row r="733" spans="1:15" ht="15.6">
      <c r="A733" s="457">
        <v>46105</v>
      </c>
      <c r="B733" s="242" t="s">
        <v>801</v>
      </c>
      <c r="C733" s="242" t="s">
        <v>120</v>
      </c>
      <c r="D733" s="242" t="s">
        <v>98</v>
      </c>
      <c r="E733" s="460">
        <v>62500</v>
      </c>
      <c r="F733" s="454">
        <f t="shared" si="11"/>
        <v>116.73297099419138</v>
      </c>
      <c r="G733" s="239">
        <v>535.41</v>
      </c>
      <c r="H733" s="242" t="s">
        <v>124</v>
      </c>
      <c r="I733" s="170" t="s">
        <v>845</v>
      </c>
      <c r="J733" s="170" t="s">
        <v>96</v>
      </c>
      <c r="K733" s="170" t="s">
        <v>345</v>
      </c>
      <c r="L733" s="170" t="s">
        <v>113</v>
      </c>
      <c r="M733" s="75"/>
      <c r="N733" s="75"/>
      <c r="O733" s="75"/>
    </row>
    <row r="734" spans="1:15" ht="15.6">
      <c r="A734" s="457">
        <v>46105</v>
      </c>
      <c r="B734" s="242" t="s">
        <v>808</v>
      </c>
      <c r="C734" s="242" t="s">
        <v>110</v>
      </c>
      <c r="D734" s="242" t="s">
        <v>97</v>
      </c>
      <c r="E734" s="242">
        <v>5000</v>
      </c>
      <c r="F734" s="454">
        <f t="shared" si="11"/>
        <v>9.3386376795353101</v>
      </c>
      <c r="G734" s="239">
        <v>535.41</v>
      </c>
      <c r="H734" s="242" t="s">
        <v>124</v>
      </c>
      <c r="I734" s="242" t="s">
        <v>846</v>
      </c>
      <c r="J734" s="170" t="s">
        <v>96</v>
      </c>
      <c r="K734" s="170" t="s">
        <v>345</v>
      </c>
      <c r="L734" s="170" t="s">
        <v>113</v>
      </c>
      <c r="M734" s="75"/>
      <c r="N734" s="75"/>
      <c r="O734" s="75"/>
    </row>
    <row r="735" spans="1:15" ht="15.6">
      <c r="A735" s="457">
        <v>46106</v>
      </c>
      <c r="B735" s="242" t="s">
        <v>188</v>
      </c>
      <c r="C735" s="170" t="s">
        <v>337</v>
      </c>
      <c r="D735" s="458" t="s">
        <v>99</v>
      </c>
      <c r="E735" s="242">
        <v>1000</v>
      </c>
      <c r="F735" s="454">
        <f t="shared" ref="F735:F798" si="12">E735/G735</f>
        <v>1.9254803020356539</v>
      </c>
      <c r="G735" s="239">
        <v>519.35093749999999</v>
      </c>
      <c r="H735" s="459" t="s">
        <v>111</v>
      </c>
      <c r="I735" s="170" t="s">
        <v>380</v>
      </c>
      <c r="J735" s="170" t="s">
        <v>96</v>
      </c>
      <c r="K735" s="170" t="s">
        <v>345</v>
      </c>
      <c r="L735" s="170" t="s">
        <v>113</v>
      </c>
      <c r="M735" s="364"/>
      <c r="N735" s="364"/>
      <c r="O735" s="75"/>
    </row>
    <row r="736" spans="1:15" ht="15.6">
      <c r="A736" s="457">
        <v>46106</v>
      </c>
      <c r="B736" s="242" t="s">
        <v>375</v>
      </c>
      <c r="C736" s="170" t="s">
        <v>337</v>
      </c>
      <c r="D736" s="458" t="s">
        <v>99</v>
      </c>
      <c r="E736" s="242">
        <v>1000</v>
      </c>
      <c r="F736" s="454">
        <f t="shared" si="12"/>
        <v>1.9254803020356539</v>
      </c>
      <c r="G736" s="239">
        <v>519.35093749999999</v>
      </c>
      <c r="H736" s="459" t="s">
        <v>111</v>
      </c>
      <c r="I736" s="170" t="s">
        <v>380</v>
      </c>
      <c r="J736" s="170" t="s">
        <v>96</v>
      </c>
      <c r="K736" s="170" t="s">
        <v>345</v>
      </c>
      <c r="L736" s="170" t="s">
        <v>113</v>
      </c>
      <c r="M736" s="364"/>
      <c r="N736" s="364"/>
      <c r="O736" s="75"/>
    </row>
    <row r="737" spans="1:15" ht="15.6">
      <c r="A737" s="457">
        <v>46106</v>
      </c>
      <c r="B737" s="242" t="s">
        <v>376</v>
      </c>
      <c r="C737" s="170" t="s">
        <v>337</v>
      </c>
      <c r="D737" s="458" t="s">
        <v>99</v>
      </c>
      <c r="E737" s="242">
        <v>1000</v>
      </c>
      <c r="F737" s="454">
        <f t="shared" si="12"/>
        <v>1.9254803020356539</v>
      </c>
      <c r="G737" s="239">
        <v>519.35093749999999</v>
      </c>
      <c r="H737" s="459" t="s">
        <v>111</v>
      </c>
      <c r="I737" s="170" t="s">
        <v>380</v>
      </c>
      <c r="J737" s="170" t="s">
        <v>96</v>
      </c>
      <c r="K737" s="170" t="s">
        <v>345</v>
      </c>
      <c r="L737" s="170" t="s">
        <v>113</v>
      </c>
      <c r="M737" s="361"/>
      <c r="N737" s="361"/>
      <c r="O737" s="271"/>
    </row>
    <row r="738" spans="1:15" ht="15.6">
      <c r="A738" s="457">
        <v>46106</v>
      </c>
      <c r="B738" s="242" t="s">
        <v>193</v>
      </c>
      <c r="C738" s="170" t="s">
        <v>337</v>
      </c>
      <c r="D738" s="458" t="s">
        <v>99</v>
      </c>
      <c r="E738" s="242">
        <v>1000</v>
      </c>
      <c r="F738" s="454">
        <f t="shared" si="12"/>
        <v>1.9254803020356539</v>
      </c>
      <c r="G738" s="239">
        <v>519.35093749999999</v>
      </c>
      <c r="H738" s="459" t="s">
        <v>111</v>
      </c>
      <c r="I738" s="170" t="s">
        <v>380</v>
      </c>
      <c r="J738" s="170" t="s">
        <v>96</v>
      </c>
      <c r="K738" s="170" t="s">
        <v>345</v>
      </c>
      <c r="L738" s="170" t="s">
        <v>113</v>
      </c>
      <c r="M738" s="362"/>
      <c r="N738" s="361"/>
      <c r="O738" s="271"/>
    </row>
    <row r="739" spans="1:15" ht="15.6">
      <c r="A739" s="457">
        <v>46106</v>
      </c>
      <c r="B739" s="242" t="s">
        <v>315</v>
      </c>
      <c r="C739" s="170" t="s">
        <v>337</v>
      </c>
      <c r="D739" s="458" t="s">
        <v>99</v>
      </c>
      <c r="E739" s="242">
        <v>1000</v>
      </c>
      <c r="F739" s="454">
        <f t="shared" si="12"/>
        <v>1.9254803020356539</v>
      </c>
      <c r="G739" s="239">
        <v>519.35093749999999</v>
      </c>
      <c r="H739" s="459" t="s">
        <v>111</v>
      </c>
      <c r="I739" s="170" t="s">
        <v>380</v>
      </c>
      <c r="J739" s="170" t="s">
        <v>96</v>
      </c>
      <c r="K739" s="170" t="s">
        <v>345</v>
      </c>
      <c r="L739" s="170" t="s">
        <v>113</v>
      </c>
      <c r="M739" s="361"/>
      <c r="N739" s="361"/>
      <c r="O739" s="271"/>
    </row>
    <row r="740" spans="1:15" ht="15.6">
      <c r="A740" s="457">
        <v>46106</v>
      </c>
      <c r="B740" s="242" t="s">
        <v>187</v>
      </c>
      <c r="C740" s="170" t="s">
        <v>337</v>
      </c>
      <c r="D740" s="458" t="s">
        <v>99</v>
      </c>
      <c r="E740" s="242">
        <v>1000</v>
      </c>
      <c r="F740" s="454">
        <f t="shared" si="12"/>
        <v>1.9254803020356539</v>
      </c>
      <c r="G740" s="239">
        <v>519.35093749999999</v>
      </c>
      <c r="H740" s="459" t="s">
        <v>111</v>
      </c>
      <c r="I740" s="170" t="s">
        <v>380</v>
      </c>
      <c r="J740" s="170" t="s">
        <v>96</v>
      </c>
      <c r="K740" s="170" t="s">
        <v>345</v>
      </c>
      <c r="L740" s="170" t="s">
        <v>113</v>
      </c>
      <c r="M740" s="361"/>
      <c r="N740" s="361"/>
      <c r="O740" s="271"/>
    </row>
    <row r="741" spans="1:15" ht="15.6">
      <c r="A741" s="457">
        <v>46106</v>
      </c>
      <c r="B741" s="242" t="s">
        <v>475</v>
      </c>
      <c r="C741" s="242" t="s">
        <v>463</v>
      </c>
      <c r="D741" s="242" t="s">
        <v>98</v>
      </c>
      <c r="E741" s="460">
        <v>1610</v>
      </c>
      <c r="F741" s="454">
        <f t="shared" si="12"/>
        <v>3.00704133281037</v>
      </c>
      <c r="G741" s="239">
        <v>535.41</v>
      </c>
      <c r="H741" s="242" t="s">
        <v>168</v>
      </c>
      <c r="I741" s="170" t="s">
        <v>526</v>
      </c>
      <c r="J741" s="170" t="s">
        <v>96</v>
      </c>
      <c r="K741" s="170" t="s">
        <v>345</v>
      </c>
      <c r="L741" s="170" t="s">
        <v>113</v>
      </c>
      <c r="M741" s="75"/>
      <c r="N741" s="75"/>
      <c r="O741" s="75"/>
    </row>
    <row r="742" spans="1:15" ht="15.6">
      <c r="A742" s="457">
        <v>46106</v>
      </c>
      <c r="B742" s="242" t="s">
        <v>480</v>
      </c>
      <c r="C742" s="170" t="s">
        <v>120</v>
      </c>
      <c r="D742" s="242" t="s">
        <v>98</v>
      </c>
      <c r="E742" s="460">
        <v>10000</v>
      </c>
      <c r="F742" s="454">
        <f t="shared" si="12"/>
        <v>18.67727535907062</v>
      </c>
      <c r="G742" s="239">
        <v>535.41</v>
      </c>
      <c r="H742" s="242" t="s">
        <v>168</v>
      </c>
      <c r="I742" s="170" t="s">
        <v>527</v>
      </c>
      <c r="J742" s="170" t="s">
        <v>96</v>
      </c>
      <c r="K742" s="170" t="s">
        <v>345</v>
      </c>
      <c r="L742" s="170" t="s">
        <v>113</v>
      </c>
      <c r="M742" s="75"/>
      <c r="N742" s="75"/>
      <c r="O742" s="75"/>
    </row>
    <row r="743" spans="1:15" ht="15.6">
      <c r="A743" s="467">
        <v>46106</v>
      </c>
      <c r="B743" s="242" t="s">
        <v>476</v>
      </c>
      <c r="C743" s="170" t="s">
        <v>337</v>
      </c>
      <c r="D743" s="242" t="s">
        <v>98</v>
      </c>
      <c r="E743" s="298">
        <v>1000</v>
      </c>
      <c r="F743" s="454">
        <f t="shared" si="12"/>
        <v>1.867727535907062</v>
      </c>
      <c r="G743" s="239">
        <v>535.41</v>
      </c>
      <c r="H743" s="242" t="s">
        <v>168</v>
      </c>
      <c r="I743" s="242" t="s">
        <v>510</v>
      </c>
      <c r="J743" s="170" t="s">
        <v>96</v>
      </c>
      <c r="K743" s="170" t="s">
        <v>345</v>
      </c>
      <c r="L743" s="170" t="s">
        <v>113</v>
      </c>
      <c r="M743" s="75"/>
      <c r="N743" s="75"/>
      <c r="O743" s="75"/>
    </row>
    <row r="744" spans="1:15" ht="15.6">
      <c r="A744" s="467">
        <v>46106</v>
      </c>
      <c r="B744" s="242" t="s">
        <v>470</v>
      </c>
      <c r="C744" s="170" t="s">
        <v>337</v>
      </c>
      <c r="D744" s="242" t="s">
        <v>98</v>
      </c>
      <c r="E744" s="298">
        <v>1000</v>
      </c>
      <c r="F744" s="454">
        <f t="shared" si="12"/>
        <v>1.867727535907062</v>
      </c>
      <c r="G744" s="239">
        <v>535.41</v>
      </c>
      <c r="H744" s="242" t="s">
        <v>168</v>
      </c>
      <c r="I744" s="242" t="s">
        <v>510</v>
      </c>
      <c r="J744" s="170" t="s">
        <v>96</v>
      </c>
      <c r="K744" s="170" t="s">
        <v>345</v>
      </c>
      <c r="L744" s="170" t="s">
        <v>113</v>
      </c>
      <c r="M744" s="75"/>
      <c r="N744" s="75"/>
      <c r="O744" s="75"/>
    </row>
    <row r="745" spans="1:15" ht="15.6">
      <c r="A745" s="467">
        <v>46106</v>
      </c>
      <c r="B745" s="242" t="s">
        <v>481</v>
      </c>
      <c r="C745" s="170" t="s">
        <v>337</v>
      </c>
      <c r="D745" s="242" t="s">
        <v>98</v>
      </c>
      <c r="E745" s="298">
        <v>1000</v>
      </c>
      <c r="F745" s="454">
        <f t="shared" si="12"/>
        <v>1.867727535907062</v>
      </c>
      <c r="G745" s="239">
        <v>535.41</v>
      </c>
      <c r="H745" s="242" t="s">
        <v>168</v>
      </c>
      <c r="I745" s="242" t="s">
        <v>510</v>
      </c>
      <c r="J745" s="170" t="s">
        <v>96</v>
      </c>
      <c r="K745" s="170" t="s">
        <v>345</v>
      </c>
      <c r="L745" s="170" t="s">
        <v>113</v>
      </c>
      <c r="M745" s="75"/>
      <c r="N745" s="75"/>
      <c r="O745" s="75"/>
    </row>
    <row r="746" spans="1:15" ht="15.6">
      <c r="A746" s="467">
        <v>46106</v>
      </c>
      <c r="B746" s="242" t="s">
        <v>482</v>
      </c>
      <c r="C746" s="170" t="s">
        <v>337</v>
      </c>
      <c r="D746" s="242" t="s">
        <v>98</v>
      </c>
      <c r="E746" s="298">
        <v>1000</v>
      </c>
      <c r="F746" s="454">
        <f t="shared" si="12"/>
        <v>1.867727535907062</v>
      </c>
      <c r="G746" s="239">
        <v>535.41</v>
      </c>
      <c r="H746" s="242" t="s">
        <v>168</v>
      </c>
      <c r="I746" s="242" t="s">
        <v>510</v>
      </c>
      <c r="J746" s="170" t="s">
        <v>96</v>
      </c>
      <c r="K746" s="170" t="s">
        <v>345</v>
      </c>
      <c r="L746" s="170" t="s">
        <v>113</v>
      </c>
      <c r="M746" s="75"/>
      <c r="N746" s="75"/>
      <c r="O746" s="75"/>
    </row>
    <row r="747" spans="1:15" ht="15.6">
      <c r="A747" s="457">
        <v>46106</v>
      </c>
      <c r="B747" s="242" t="s">
        <v>1050</v>
      </c>
      <c r="C747" s="242" t="s">
        <v>541</v>
      </c>
      <c r="D747" s="242" t="s">
        <v>259</v>
      </c>
      <c r="E747" s="242">
        <v>3500</v>
      </c>
      <c r="F747" s="454">
        <f t="shared" si="12"/>
        <v>6.5370463756747172</v>
      </c>
      <c r="G747" s="239">
        <v>535.41</v>
      </c>
      <c r="H747" s="242" t="s">
        <v>122</v>
      </c>
      <c r="I747" s="242" t="s">
        <v>596</v>
      </c>
      <c r="J747" s="170" t="s">
        <v>96</v>
      </c>
      <c r="K747" s="170" t="s">
        <v>345</v>
      </c>
      <c r="L747" s="170" t="s">
        <v>113</v>
      </c>
      <c r="M747" s="75"/>
      <c r="N747" s="75"/>
      <c r="O747" s="75"/>
    </row>
    <row r="748" spans="1:15" ht="15.6">
      <c r="A748" s="457">
        <v>46106</v>
      </c>
      <c r="B748" s="242" t="s">
        <v>1027</v>
      </c>
      <c r="C748" s="242" t="s">
        <v>402</v>
      </c>
      <c r="D748" s="242" t="s">
        <v>259</v>
      </c>
      <c r="E748" s="242">
        <v>4000</v>
      </c>
      <c r="F748" s="454">
        <f t="shared" si="12"/>
        <v>7.4709101436282479</v>
      </c>
      <c r="G748" s="239">
        <v>535.41</v>
      </c>
      <c r="H748" s="242" t="s">
        <v>122</v>
      </c>
      <c r="I748" s="242" t="s">
        <v>631</v>
      </c>
      <c r="J748" s="170" t="s">
        <v>96</v>
      </c>
      <c r="K748" s="170" t="s">
        <v>345</v>
      </c>
      <c r="L748" s="170" t="s">
        <v>113</v>
      </c>
      <c r="M748" s="75"/>
      <c r="N748" s="75"/>
      <c r="O748" s="75"/>
    </row>
    <row r="749" spans="1:15" ht="15.6">
      <c r="A749" s="457">
        <v>46106</v>
      </c>
      <c r="B749" s="242" t="s">
        <v>1031</v>
      </c>
      <c r="C749" s="242" t="s">
        <v>402</v>
      </c>
      <c r="D749" s="242" t="s">
        <v>259</v>
      </c>
      <c r="E749" s="242">
        <v>4000</v>
      </c>
      <c r="F749" s="454">
        <f t="shared" si="12"/>
        <v>7.4709101436282479</v>
      </c>
      <c r="G749" s="239">
        <v>535.41</v>
      </c>
      <c r="H749" s="242" t="s">
        <v>122</v>
      </c>
      <c r="I749" s="242" t="s">
        <v>632</v>
      </c>
      <c r="J749" s="170" t="s">
        <v>96</v>
      </c>
      <c r="K749" s="170" t="s">
        <v>345</v>
      </c>
      <c r="L749" s="170" t="s">
        <v>113</v>
      </c>
      <c r="M749" s="75"/>
      <c r="N749" s="75"/>
      <c r="O749" s="75"/>
    </row>
    <row r="750" spans="1:15" ht="15.6">
      <c r="A750" s="457">
        <v>46106</v>
      </c>
      <c r="B750" s="242" t="s">
        <v>1031</v>
      </c>
      <c r="C750" s="170" t="s">
        <v>337</v>
      </c>
      <c r="D750" s="242" t="s">
        <v>259</v>
      </c>
      <c r="E750" s="242">
        <v>500</v>
      </c>
      <c r="F750" s="454">
        <f t="shared" si="12"/>
        <v>0.93386376795353099</v>
      </c>
      <c r="G750" s="239">
        <v>535.41</v>
      </c>
      <c r="H750" s="242" t="s">
        <v>131</v>
      </c>
      <c r="I750" s="242" t="s">
        <v>653</v>
      </c>
      <c r="J750" s="170" t="s">
        <v>96</v>
      </c>
      <c r="K750" s="170" t="s">
        <v>345</v>
      </c>
      <c r="L750" s="170" t="s">
        <v>113</v>
      </c>
      <c r="M750" s="75"/>
      <c r="N750" s="75"/>
      <c r="O750" s="75"/>
    </row>
    <row r="751" spans="1:15" ht="15.6">
      <c r="A751" s="457">
        <v>46106</v>
      </c>
      <c r="B751" s="242" t="s">
        <v>1027</v>
      </c>
      <c r="C751" s="170" t="s">
        <v>337</v>
      </c>
      <c r="D751" s="242" t="s">
        <v>259</v>
      </c>
      <c r="E751" s="242">
        <v>500</v>
      </c>
      <c r="F751" s="454">
        <f t="shared" si="12"/>
        <v>0.93386376795353099</v>
      </c>
      <c r="G751" s="239">
        <v>535.41</v>
      </c>
      <c r="H751" s="242" t="s">
        <v>131</v>
      </c>
      <c r="I751" s="242" t="s">
        <v>653</v>
      </c>
      <c r="J751" s="170" t="s">
        <v>96</v>
      </c>
      <c r="K751" s="170" t="s">
        <v>345</v>
      </c>
      <c r="L751" s="170" t="s">
        <v>113</v>
      </c>
      <c r="M751" s="75"/>
      <c r="N751" s="75"/>
      <c r="O751" s="75"/>
    </row>
    <row r="752" spans="1:15" ht="15.6">
      <c r="A752" s="468">
        <v>46106</v>
      </c>
      <c r="B752" s="170" t="s">
        <v>702</v>
      </c>
      <c r="C752" s="170" t="s">
        <v>337</v>
      </c>
      <c r="D752" s="456" t="s">
        <v>97</v>
      </c>
      <c r="E752" s="367">
        <v>1000</v>
      </c>
      <c r="F752" s="454">
        <f t="shared" si="12"/>
        <v>1.867727535907062</v>
      </c>
      <c r="G752" s="239">
        <v>535.41</v>
      </c>
      <c r="H752" s="456" t="s">
        <v>134</v>
      </c>
      <c r="I752" s="170" t="s">
        <v>730</v>
      </c>
      <c r="J752" s="170" t="s">
        <v>96</v>
      </c>
      <c r="K752" s="170" t="s">
        <v>345</v>
      </c>
      <c r="L752" s="170" t="s">
        <v>113</v>
      </c>
      <c r="M752" s="75"/>
      <c r="N752" s="75"/>
      <c r="O752" s="75"/>
    </row>
    <row r="753" spans="1:15" ht="15.6">
      <c r="A753" s="468">
        <v>46106</v>
      </c>
      <c r="B753" s="170" t="s">
        <v>703</v>
      </c>
      <c r="C753" s="170" t="s">
        <v>337</v>
      </c>
      <c r="D753" s="456" t="s">
        <v>97</v>
      </c>
      <c r="E753" s="367">
        <v>1000</v>
      </c>
      <c r="F753" s="454">
        <f t="shared" si="12"/>
        <v>1.867727535907062</v>
      </c>
      <c r="G753" s="239">
        <v>535.41</v>
      </c>
      <c r="H753" s="456" t="s">
        <v>134</v>
      </c>
      <c r="I753" s="170" t="s">
        <v>730</v>
      </c>
      <c r="J753" s="170" t="s">
        <v>96</v>
      </c>
      <c r="K753" s="170" t="s">
        <v>345</v>
      </c>
      <c r="L753" s="170" t="s">
        <v>113</v>
      </c>
      <c r="M753" s="75"/>
      <c r="N753" s="75"/>
      <c r="O753" s="75"/>
    </row>
    <row r="754" spans="1:15" ht="15.6">
      <c r="A754" s="468">
        <v>46106</v>
      </c>
      <c r="B754" s="170" t="s">
        <v>705</v>
      </c>
      <c r="C754" s="242" t="s">
        <v>402</v>
      </c>
      <c r="D754" s="456" t="s">
        <v>97</v>
      </c>
      <c r="E754" s="367">
        <v>9000</v>
      </c>
      <c r="F754" s="454">
        <f t="shared" si="12"/>
        <v>16.809547823163559</v>
      </c>
      <c r="G754" s="239">
        <v>535.41</v>
      </c>
      <c r="H754" s="456" t="s">
        <v>134</v>
      </c>
      <c r="I754" s="170" t="s">
        <v>735</v>
      </c>
      <c r="J754" s="170" t="s">
        <v>96</v>
      </c>
      <c r="K754" s="170" t="s">
        <v>345</v>
      </c>
      <c r="L754" s="170" t="s">
        <v>113</v>
      </c>
      <c r="M754" s="75"/>
      <c r="N754" s="75"/>
      <c r="O754" s="75"/>
    </row>
    <row r="755" spans="1:15" ht="15.6">
      <c r="A755" s="457">
        <v>46106</v>
      </c>
      <c r="B755" s="242" t="s">
        <v>810</v>
      </c>
      <c r="C755" s="170" t="s">
        <v>337</v>
      </c>
      <c r="D755" s="242" t="s">
        <v>97</v>
      </c>
      <c r="E755" s="242">
        <v>1000</v>
      </c>
      <c r="F755" s="454">
        <f t="shared" si="12"/>
        <v>1.867727535907062</v>
      </c>
      <c r="G755" s="239">
        <v>535.41</v>
      </c>
      <c r="H755" s="242" t="s">
        <v>124</v>
      </c>
      <c r="I755" s="242" t="s">
        <v>836</v>
      </c>
      <c r="J755" s="170" t="s">
        <v>96</v>
      </c>
      <c r="K755" s="170" t="s">
        <v>345</v>
      </c>
      <c r="L755" s="170" t="s">
        <v>113</v>
      </c>
      <c r="M755" s="75"/>
      <c r="N755" s="75"/>
      <c r="O755" s="75"/>
    </row>
    <row r="756" spans="1:15" ht="15.6">
      <c r="A756" s="457">
        <v>46106</v>
      </c>
      <c r="B756" s="242" t="s">
        <v>811</v>
      </c>
      <c r="C756" s="242" t="s">
        <v>402</v>
      </c>
      <c r="D756" s="242" t="s">
        <v>97</v>
      </c>
      <c r="E756" s="242">
        <v>7000</v>
      </c>
      <c r="F756" s="454">
        <f t="shared" si="12"/>
        <v>13.074092751349434</v>
      </c>
      <c r="G756" s="239">
        <v>535.41</v>
      </c>
      <c r="H756" s="242" t="s">
        <v>124</v>
      </c>
      <c r="I756" s="242" t="s">
        <v>848</v>
      </c>
      <c r="J756" s="170" t="s">
        <v>96</v>
      </c>
      <c r="K756" s="170" t="s">
        <v>345</v>
      </c>
      <c r="L756" s="170" t="s">
        <v>113</v>
      </c>
      <c r="M756" s="75"/>
      <c r="N756" s="75"/>
      <c r="O756" s="75"/>
    </row>
    <row r="757" spans="1:15" ht="15.6">
      <c r="A757" s="457">
        <v>46106</v>
      </c>
      <c r="B757" s="242" t="s">
        <v>813</v>
      </c>
      <c r="C757" s="170" t="s">
        <v>337</v>
      </c>
      <c r="D757" s="242" t="s">
        <v>97</v>
      </c>
      <c r="E757" s="242">
        <v>1000</v>
      </c>
      <c r="F757" s="454">
        <f t="shared" si="12"/>
        <v>1.867727535907062</v>
      </c>
      <c r="G757" s="239">
        <v>535.41</v>
      </c>
      <c r="H757" s="242" t="s">
        <v>124</v>
      </c>
      <c r="I757" s="242" t="s">
        <v>836</v>
      </c>
      <c r="J757" s="170" t="s">
        <v>96</v>
      </c>
      <c r="K757" s="170" t="s">
        <v>345</v>
      </c>
      <c r="L757" s="170" t="s">
        <v>113</v>
      </c>
      <c r="M757" s="75"/>
      <c r="N757" s="75"/>
      <c r="O757" s="75"/>
    </row>
    <row r="758" spans="1:15" ht="15.6">
      <c r="A758" s="457">
        <v>46107</v>
      </c>
      <c r="B758" s="242" t="s">
        <v>186</v>
      </c>
      <c r="C758" s="170" t="s">
        <v>337</v>
      </c>
      <c r="D758" s="458" t="s">
        <v>99</v>
      </c>
      <c r="E758" s="242">
        <v>1000</v>
      </c>
      <c r="F758" s="454">
        <f t="shared" si="12"/>
        <v>1.9254803020356539</v>
      </c>
      <c r="G758" s="239">
        <v>519.35093749999999</v>
      </c>
      <c r="H758" s="459" t="s">
        <v>111</v>
      </c>
      <c r="I758" s="170" t="s">
        <v>380</v>
      </c>
      <c r="J758" s="170" t="s">
        <v>96</v>
      </c>
      <c r="K758" s="170" t="s">
        <v>345</v>
      </c>
      <c r="L758" s="170" t="s">
        <v>113</v>
      </c>
      <c r="M758" s="361"/>
      <c r="N758" s="361"/>
      <c r="O758" s="271"/>
    </row>
    <row r="759" spans="1:15" ht="15.6">
      <c r="A759" s="457">
        <v>46107</v>
      </c>
      <c r="B759" s="242" t="s">
        <v>364</v>
      </c>
      <c r="C759" s="170" t="s">
        <v>337</v>
      </c>
      <c r="D759" s="458" t="s">
        <v>99</v>
      </c>
      <c r="E759" s="242">
        <v>1000</v>
      </c>
      <c r="F759" s="454">
        <f t="shared" si="12"/>
        <v>1.9254803020356539</v>
      </c>
      <c r="G759" s="239">
        <v>519.35093749999999</v>
      </c>
      <c r="H759" s="459" t="s">
        <v>111</v>
      </c>
      <c r="I759" s="170" t="s">
        <v>380</v>
      </c>
      <c r="J759" s="170" t="s">
        <v>96</v>
      </c>
      <c r="K759" s="170" t="s">
        <v>345</v>
      </c>
      <c r="L759" s="170" t="s">
        <v>113</v>
      </c>
      <c r="M759" s="361"/>
      <c r="N759" s="361"/>
      <c r="O759" s="271"/>
    </row>
    <row r="760" spans="1:15" ht="15.6">
      <c r="A760" s="457">
        <v>46107</v>
      </c>
      <c r="B760" s="242" t="s">
        <v>369</v>
      </c>
      <c r="C760" s="170" t="s">
        <v>337</v>
      </c>
      <c r="D760" s="458" t="s">
        <v>99</v>
      </c>
      <c r="E760" s="242">
        <v>1000</v>
      </c>
      <c r="F760" s="454">
        <f t="shared" si="12"/>
        <v>1.9254803020356539</v>
      </c>
      <c r="G760" s="239">
        <v>519.35093749999999</v>
      </c>
      <c r="H760" s="459" t="s">
        <v>111</v>
      </c>
      <c r="I760" s="170" t="s">
        <v>380</v>
      </c>
      <c r="J760" s="170" t="s">
        <v>96</v>
      </c>
      <c r="K760" s="170" t="s">
        <v>345</v>
      </c>
      <c r="L760" s="170" t="s">
        <v>113</v>
      </c>
      <c r="M760" s="364"/>
      <c r="N760" s="364"/>
      <c r="O760" s="75"/>
    </row>
    <row r="761" spans="1:15" ht="15.6">
      <c r="A761" s="457">
        <v>46107</v>
      </c>
      <c r="B761" s="242" t="s">
        <v>187</v>
      </c>
      <c r="C761" s="170" t="s">
        <v>337</v>
      </c>
      <c r="D761" s="458" t="s">
        <v>99</v>
      </c>
      <c r="E761" s="242">
        <v>1000</v>
      </c>
      <c r="F761" s="454">
        <f t="shared" si="12"/>
        <v>1.9254803020356539</v>
      </c>
      <c r="G761" s="239">
        <v>519.35093749999999</v>
      </c>
      <c r="H761" s="459" t="s">
        <v>111</v>
      </c>
      <c r="I761" s="170" t="s">
        <v>380</v>
      </c>
      <c r="J761" s="170" t="s">
        <v>96</v>
      </c>
      <c r="K761" s="170" t="s">
        <v>345</v>
      </c>
      <c r="L761" s="170" t="s">
        <v>113</v>
      </c>
      <c r="M761" s="361"/>
      <c r="N761" s="361"/>
      <c r="O761" s="271"/>
    </row>
    <row r="762" spans="1:15" ht="15.6">
      <c r="A762" s="457">
        <v>46107</v>
      </c>
      <c r="B762" s="242" t="s">
        <v>483</v>
      </c>
      <c r="C762" s="242" t="s">
        <v>463</v>
      </c>
      <c r="D762" s="242" t="s">
        <v>98</v>
      </c>
      <c r="E762" s="460">
        <v>6160</v>
      </c>
      <c r="F762" s="454">
        <f t="shared" si="12"/>
        <v>11.505201621187501</v>
      </c>
      <c r="G762" s="239">
        <v>535.41</v>
      </c>
      <c r="H762" s="242" t="s">
        <v>168</v>
      </c>
      <c r="I762" s="170" t="s">
        <v>528</v>
      </c>
      <c r="J762" s="170" t="s">
        <v>96</v>
      </c>
      <c r="K762" s="170" t="s">
        <v>345</v>
      </c>
      <c r="L762" s="170" t="s">
        <v>113</v>
      </c>
      <c r="M762" s="75"/>
      <c r="N762" s="75"/>
      <c r="O762" s="75"/>
    </row>
    <row r="763" spans="1:15" ht="15.6">
      <c r="A763" s="457">
        <v>46107</v>
      </c>
      <c r="B763" s="242" t="s">
        <v>484</v>
      </c>
      <c r="C763" s="170" t="s">
        <v>120</v>
      </c>
      <c r="D763" s="242" t="s">
        <v>98</v>
      </c>
      <c r="E763" s="460">
        <v>3750</v>
      </c>
      <c r="F763" s="454">
        <f t="shared" si="12"/>
        <v>7.0039782596514826</v>
      </c>
      <c r="G763" s="239">
        <v>535.41</v>
      </c>
      <c r="H763" s="242" t="s">
        <v>168</v>
      </c>
      <c r="I763" s="170" t="s">
        <v>529</v>
      </c>
      <c r="J763" s="170" t="s">
        <v>96</v>
      </c>
      <c r="K763" s="170" t="s">
        <v>345</v>
      </c>
      <c r="L763" s="170" t="s">
        <v>113</v>
      </c>
      <c r="M763" s="75"/>
      <c r="N763" s="75"/>
      <c r="O763" s="75"/>
    </row>
    <row r="764" spans="1:15" ht="15.6">
      <c r="A764" s="467">
        <v>46107</v>
      </c>
      <c r="B764" s="242" t="s">
        <v>485</v>
      </c>
      <c r="C764" s="170" t="s">
        <v>337</v>
      </c>
      <c r="D764" s="242" t="s">
        <v>98</v>
      </c>
      <c r="E764" s="298">
        <v>1000</v>
      </c>
      <c r="F764" s="454">
        <f t="shared" si="12"/>
        <v>1.867727535907062</v>
      </c>
      <c r="G764" s="239">
        <v>535.41</v>
      </c>
      <c r="H764" s="242" t="s">
        <v>168</v>
      </c>
      <c r="I764" s="242" t="s">
        <v>510</v>
      </c>
      <c r="J764" s="170" t="s">
        <v>96</v>
      </c>
      <c r="K764" s="170" t="s">
        <v>345</v>
      </c>
      <c r="L764" s="170" t="s">
        <v>113</v>
      </c>
      <c r="M764" s="75"/>
      <c r="N764" s="75"/>
      <c r="O764" s="75"/>
    </row>
    <row r="765" spans="1:15" ht="15.6">
      <c r="A765" s="467">
        <v>46107</v>
      </c>
      <c r="B765" s="242" t="s">
        <v>197</v>
      </c>
      <c r="C765" s="170" t="s">
        <v>337</v>
      </c>
      <c r="D765" s="242" t="s">
        <v>98</v>
      </c>
      <c r="E765" s="298">
        <v>1000</v>
      </c>
      <c r="F765" s="454">
        <f t="shared" si="12"/>
        <v>1.867727535907062</v>
      </c>
      <c r="G765" s="239">
        <v>535.41</v>
      </c>
      <c r="H765" s="242" t="s">
        <v>168</v>
      </c>
      <c r="I765" s="242" t="s">
        <v>510</v>
      </c>
      <c r="J765" s="170" t="s">
        <v>96</v>
      </c>
      <c r="K765" s="170" t="s">
        <v>345</v>
      </c>
      <c r="L765" s="170" t="s">
        <v>113</v>
      </c>
      <c r="M765" s="75"/>
      <c r="N765" s="75"/>
      <c r="O765" s="75"/>
    </row>
    <row r="766" spans="1:15" ht="15.6">
      <c r="A766" s="467">
        <v>46107</v>
      </c>
      <c r="B766" s="242" t="s">
        <v>486</v>
      </c>
      <c r="C766" s="170" t="s">
        <v>337</v>
      </c>
      <c r="D766" s="242" t="s">
        <v>98</v>
      </c>
      <c r="E766" s="298">
        <v>1000</v>
      </c>
      <c r="F766" s="454">
        <f t="shared" si="12"/>
        <v>1.867727535907062</v>
      </c>
      <c r="G766" s="239">
        <v>535.41</v>
      </c>
      <c r="H766" s="242" t="s">
        <v>168</v>
      </c>
      <c r="I766" s="242" t="s">
        <v>510</v>
      </c>
      <c r="J766" s="170" t="s">
        <v>96</v>
      </c>
      <c r="K766" s="170" t="s">
        <v>345</v>
      </c>
      <c r="L766" s="170" t="s">
        <v>113</v>
      </c>
      <c r="M766" s="75"/>
      <c r="N766" s="75"/>
      <c r="O766" s="75"/>
    </row>
    <row r="767" spans="1:15" ht="15.6">
      <c r="A767" s="467">
        <v>46107</v>
      </c>
      <c r="B767" s="242" t="s">
        <v>470</v>
      </c>
      <c r="C767" s="170" t="s">
        <v>337</v>
      </c>
      <c r="D767" s="242" t="s">
        <v>98</v>
      </c>
      <c r="E767" s="298">
        <v>1000</v>
      </c>
      <c r="F767" s="454">
        <f t="shared" si="12"/>
        <v>1.867727535907062</v>
      </c>
      <c r="G767" s="239">
        <v>535.41</v>
      </c>
      <c r="H767" s="242" t="s">
        <v>168</v>
      </c>
      <c r="I767" s="242" t="s">
        <v>510</v>
      </c>
      <c r="J767" s="170" t="s">
        <v>96</v>
      </c>
      <c r="K767" s="170" t="s">
        <v>345</v>
      </c>
      <c r="L767" s="170" t="s">
        <v>113</v>
      </c>
      <c r="M767" s="75"/>
      <c r="N767" s="75"/>
      <c r="O767" s="75"/>
    </row>
    <row r="768" spans="1:15" ht="15.6">
      <c r="A768" s="457">
        <v>46107</v>
      </c>
      <c r="B768" s="242" t="s">
        <v>1027</v>
      </c>
      <c r="C768" s="170" t="s">
        <v>337</v>
      </c>
      <c r="D768" s="242" t="s">
        <v>259</v>
      </c>
      <c r="E768" s="242">
        <v>500</v>
      </c>
      <c r="F768" s="454">
        <f t="shared" si="12"/>
        <v>0.93386376795353099</v>
      </c>
      <c r="G768" s="239">
        <v>535.41</v>
      </c>
      <c r="H768" s="242" t="s">
        <v>131</v>
      </c>
      <c r="I768" s="242" t="s">
        <v>653</v>
      </c>
      <c r="J768" s="170" t="s">
        <v>96</v>
      </c>
      <c r="K768" s="170" t="s">
        <v>345</v>
      </c>
      <c r="L768" s="170" t="s">
        <v>113</v>
      </c>
      <c r="M768" s="75"/>
      <c r="N768" s="75"/>
      <c r="O768" s="75"/>
    </row>
    <row r="769" spans="1:15" ht="15.6">
      <c r="A769" s="457">
        <v>46107</v>
      </c>
      <c r="B769" s="242" t="s">
        <v>1027</v>
      </c>
      <c r="C769" s="170" t="s">
        <v>337</v>
      </c>
      <c r="D769" s="242" t="s">
        <v>259</v>
      </c>
      <c r="E769" s="242">
        <v>500</v>
      </c>
      <c r="F769" s="454">
        <f t="shared" si="12"/>
        <v>0.93386376795353099</v>
      </c>
      <c r="G769" s="239">
        <v>535.41</v>
      </c>
      <c r="H769" s="242" t="s">
        <v>131</v>
      </c>
      <c r="I769" s="242" t="s">
        <v>653</v>
      </c>
      <c r="J769" s="170" t="s">
        <v>96</v>
      </c>
      <c r="K769" s="170" t="s">
        <v>345</v>
      </c>
      <c r="L769" s="170" t="s">
        <v>113</v>
      </c>
      <c r="M769" s="75"/>
      <c r="N769" s="75"/>
      <c r="O769" s="75"/>
    </row>
    <row r="770" spans="1:15" ht="15.6">
      <c r="A770" s="457">
        <v>46107</v>
      </c>
      <c r="B770" s="242" t="s">
        <v>1027</v>
      </c>
      <c r="C770" s="170" t="s">
        <v>337</v>
      </c>
      <c r="D770" s="242" t="s">
        <v>259</v>
      </c>
      <c r="E770" s="242">
        <v>500</v>
      </c>
      <c r="F770" s="454">
        <f t="shared" si="12"/>
        <v>0.93386376795353099</v>
      </c>
      <c r="G770" s="239">
        <v>535.41</v>
      </c>
      <c r="H770" s="242" t="s">
        <v>131</v>
      </c>
      <c r="I770" s="242" t="s">
        <v>653</v>
      </c>
      <c r="J770" s="170" t="s">
        <v>96</v>
      </c>
      <c r="K770" s="170" t="s">
        <v>345</v>
      </c>
      <c r="L770" s="170" t="s">
        <v>113</v>
      </c>
      <c r="M770" s="75"/>
      <c r="N770" s="75"/>
      <c r="O770" s="75"/>
    </row>
    <row r="771" spans="1:15" ht="15.6">
      <c r="A771" s="457">
        <v>46107</v>
      </c>
      <c r="B771" s="242" t="s">
        <v>1027</v>
      </c>
      <c r="C771" s="170" t="s">
        <v>337</v>
      </c>
      <c r="D771" s="242" t="s">
        <v>259</v>
      </c>
      <c r="E771" s="242">
        <v>500</v>
      </c>
      <c r="F771" s="454">
        <f t="shared" si="12"/>
        <v>0.93386376795353099</v>
      </c>
      <c r="G771" s="239">
        <v>535.41</v>
      </c>
      <c r="H771" s="242" t="s">
        <v>131</v>
      </c>
      <c r="I771" s="242" t="s">
        <v>653</v>
      </c>
      <c r="J771" s="170" t="s">
        <v>96</v>
      </c>
      <c r="K771" s="170" t="s">
        <v>345</v>
      </c>
      <c r="L771" s="170" t="s">
        <v>113</v>
      </c>
      <c r="M771" s="75"/>
      <c r="N771" s="75"/>
      <c r="O771" s="75"/>
    </row>
    <row r="772" spans="1:15" ht="15.6">
      <c r="A772" s="468">
        <v>46107</v>
      </c>
      <c r="B772" s="170" t="s">
        <v>707</v>
      </c>
      <c r="C772" s="170" t="s">
        <v>337</v>
      </c>
      <c r="D772" s="456" t="s">
        <v>97</v>
      </c>
      <c r="E772" s="367">
        <v>1000</v>
      </c>
      <c r="F772" s="454">
        <f t="shared" si="12"/>
        <v>1.867727535907062</v>
      </c>
      <c r="G772" s="239">
        <v>535.41</v>
      </c>
      <c r="H772" s="456" t="s">
        <v>134</v>
      </c>
      <c r="I772" s="170" t="s">
        <v>730</v>
      </c>
      <c r="J772" s="170" t="s">
        <v>96</v>
      </c>
      <c r="K772" s="170" t="s">
        <v>345</v>
      </c>
      <c r="L772" s="170" t="s">
        <v>113</v>
      </c>
      <c r="M772" s="75"/>
      <c r="N772" s="75"/>
      <c r="O772" s="75"/>
    </row>
    <row r="773" spans="1:15" ht="15.6">
      <c r="A773" s="468">
        <v>46107</v>
      </c>
      <c r="B773" s="170" t="s">
        <v>708</v>
      </c>
      <c r="C773" s="170" t="s">
        <v>337</v>
      </c>
      <c r="D773" s="456" t="s">
        <v>97</v>
      </c>
      <c r="E773" s="367">
        <v>500</v>
      </c>
      <c r="F773" s="454">
        <f t="shared" si="12"/>
        <v>0.93386376795353099</v>
      </c>
      <c r="G773" s="239">
        <v>535.41</v>
      </c>
      <c r="H773" s="456" t="s">
        <v>134</v>
      </c>
      <c r="I773" s="170" t="s">
        <v>730</v>
      </c>
      <c r="J773" s="170" t="s">
        <v>96</v>
      </c>
      <c r="K773" s="170" t="s">
        <v>345</v>
      </c>
      <c r="L773" s="170" t="s">
        <v>113</v>
      </c>
      <c r="M773" s="75"/>
      <c r="N773" s="75"/>
      <c r="O773" s="75"/>
    </row>
    <row r="774" spans="1:15" ht="15.6">
      <c r="A774" s="468">
        <v>46107</v>
      </c>
      <c r="B774" s="170" t="s">
        <v>709</v>
      </c>
      <c r="C774" s="170" t="s">
        <v>542</v>
      </c>
      <c r="D774" s="170" t="s">
        <v>97</v>
      </c>
      <c r="E774" s="367">
        <v>30000</v>
      </c>
      <c r="F774" s="454">
        <f t="shared" si="12"/>
        <v>56.031826077211861</v>
      </c>
      <c r="G774" s="239">
        <v>535.41</v>
      </c>
      <c r="H774" s="456" t="s">
        <v>134</v>
      </c>
      <c r="I774" s="170" t="s">
        <v>736</v>
      </c>
      <c r="J774" s="170" t="s">
        <v>96</v>
      </c>
      <c r="K774" s="170" t="s">
        <v>345</v>
      </c>
      <c r="L774" s="170" t="s">
        <v>113</v>
      </c>
      <c r="M774" s="75"/>
      <c r="N774" s="75"/>
      <c r="O774" s="75"/>
    </row>
    <row r="775" spans="1:15" ht="15.6">
      <c r="A775" s="457">
        <v>46107</v>
      </c>
      <c r="B775" s="242" t="s">
        <v>780</v>
      </c>
      <c r="C775" s="170" t="s">
        <v>337</v>
      </c>
      <c r="D775" s="469" t="s">
        <v>100</v>
      </c>
      <c r="E775" s="299">
        <v>1000</v>
      </c>
      <c r="F775" s="454">
        <f t="shared" si="12"/>
        <v>1.867727535907062</v>
      </c>
      <c r="G775" s="239">
        <v>535.41</v>
      </c>
      <c r="H775" s="242" t="s">
        <v>129</v>
      </c>
      <c r="I775" s="242" t="s">
        <v>792</v>
      </c>
      <c r="J775" s="170" t="s">
        <v>96</v>
      </c>
      <c r="K775" s="170" t="s">
        <v>345</v>
      </c>
      <c r="L775" s="170" t="s">
        <v>113</v>
      </c>
      <c r="M775" s="75"/>
      <c r="N775" s="75"/>
      <c r="O775" s="75"/>
    </row>
    <row r="776" spans="1:15" ht="15.6">
      <c r="A776" s="457">
        <v>46107</v>
      </c>
      <c r="B776" s="242" t="s">
        <v>814</v>
      </c>
      <c r="C776" s="170" t="s">
        <v>337</v>
      </c>
      <c r="D776" s="242" t="s">
        <v>97</v>
      </c>
      <c r="E776" s="242">
        <v>2000</v>
      </c>
      <c r="F776" s="454">
        <f t="shared" si="12"/>
        <v>3.735455071814124</v>
      </c>
      <c r="G776" s="239">
        <v>535.41</v>
      </c>
      <c r="H776" s="242" t="s">
        <v>124</v>
      </c>
      <c r="I776" s="242" t="s">
        <v>836</v>
      </c>
      <c r="J776" s="170" t="s">
        <v>96</v>
      </c>
      <c r="K776" s="170" t="s">
        <v>345</v>
      </c>
      <c r="L776" s="170" t="s">
        <v>113</v>
      </c>
      <c r="M776" s="75"/>
      <c r="N776" s="75"/>
      <c r="O776" s="75"/>
    </row>
    <row r="777" spans="1:15" ht="15.6">
      <c r="A777" s="457">
        <v>46107</v>
      </c>
      <c r="B777" s="242" t="s">
        <v>815</v>
      </c>
      <c r="C777" s="170" t="s">
        <v>337</v>
      </c>
      <c r="D777" s="242" t="s">
        <v>97</v>
      </c>
      <c r="E777" s="242">
        <v>500</v>
      </c>
      <c r="F777" s="454">
        <f t="shared" si="12"/>
        <v>0.93386376795353099</v>
      </c>
      <c r="G777" s="239">
        <v>535.41</v>
      </c>
      <c r="H777" s="242" t="s">
        <v>124</v>
      </c>
      <c r="I777" s="242" t="s">
        <v>836</v>
      </c>
      <c r="J777" s="170" t="s">
        <v>96</v>
      </c>
      <c r="K777" s="170" t="s">
        <v>345</v>
      </c>
      <c r="L777" s="170" t="s">
        <v>113</v>
      </c>
      <c r="M777" s="75"/>
      <c r="N777" s="75"/>
      <c r="O777" s="75"/>
    </row>
    <row r="778" spans="1:15" ht="15.6">
      <c r="A778" s="457">
        <v>46107</v>
      </c>
      <c r="B778" s="242" t="s">
        <v>816</v>
      </c>
      <c r="C778" s="170" t="s">
        <v>337</v>
      </c>
      <c r="D778" s="242" t="s">
        <v>97</v>
      </c>
      <c r="E778" s="242">
        <v>500</v>
      </c>
      <c r="F778" s="454">
        <f t="shared" si="12"/>
        <v>0.93386376795353099</v>
      </c>
      <c r="G778" s="239">
        <v>535.41</v>
      </c>
      <c r="H778" s="242" t="s">
        <v>124</v>
      </c>
      <c r="I778" s="242" t="s">
        <v>836</v>
      </c>
      <c r="J778" s="170" t="s">
        <v>96</v>
      </c>
      <c r="K778" s="170" t="s">
        <v>345</v>
      </c>
      <c r="L778" s="170" t="s">
        <v>113</v>
      </c>
      <c r="M778" s="75"/>
      <c r="N778" s="75"/>
      <c r="O778" s="75"/>
    </row>
    <row r="779" spans="1:15" ht="15.6">
      <c r="A779" s="457">
        <v>46107</v>
      </c>
      <c r="B779" s="242" t="s">
        <v>817</v>
      </c>
      <c r="C779" s="242" t="s">
        <v>818</v>
      </c>
      <c r="D779" s="242" t="s">
        <v>97</v>
      </c>
      <c r="E779" s="242">
        <v>1500</v>
      </c>
      <c r="F779" s="454">
        <f t="shared" si="12"/>
        <v>2.8015913038605929</v>
      </c>
      <c r="G779" s="239">
        <v>535.41</v>
      </c>
      <c r="H779" s="242" t="s">
        <v>124</v>
      </c>
      <c r="I779" s="242" t="s">
        <v>849</v>
      </c>
      <c r="J779" s="170" t="s">
        <v>96</v>
      </c>
      <c r="K779" s="170" t="s">
        <v>345</v>
      </c>
      <c r="L779" s="170" t="s">
        <v>113</v>
      </c>
      <c r="M779" s="75"/>
      <c r="N779" s="75"/>
      <c r="O779" s="75"/>
    </row>
    <row r="780" spans="1:15" ht="15.6">
      <c r="A780" s="457">
        <v>46107</v>
      </c>
      <c r="B780" s="242" t="s">
        <v>819</v>
      </c>
      <c r="C780" s="170" t="s">
        <v>337</v>
      </c>
      <c r="D780" s="242" t="s">
        <v>97</v>
      </c>
      <c r="E780" s="242">
        <v>500</v>
      </c>
      <c r="F780" s="454">
        <f t="shared" si="12"/>
        <v>0.93386376795353099</v>
      </c>
      <c r="G780" s="239">
        <v>535.41</v>
      </c>
      <c r="H780" s="242" t="s">
        <v>124</v>
      </c>
      <c r="I780" s="242" t="s">
        <v>836</v>
      </c>
      <c r="J780" s="170" t="s">
        <v>96</v>
      </c>
      <c r="K780" s="170" t="s">
        <v>345</v>
      </c>
      <c r="L780" s="170" t="s">
        <v>113</v>
      </c>
      <c r="M780" s="75"/>
      <c r="N780" s="75"/>
      <c r="O780" s="75"/>
    </row>
    <row r="781" spans="1:15" ht="15.6">
      <c r="A781" s="457">
        <v>46107</v>
      </c>
      <c r="B781" s="242" t="s">
        <v>820</v>
      </c>
      <c r="C781" s="242" t="s">
        <v>542</v>
      </c>
      <c r="D781" s="242" t="s">
        <v>97</v>
      </c>
      <c r="E781" s="242">
        <v>20000</v>
      </c>
      <c r="F781" s="454">
        <f t="shared" si="12"/>
        <v>37.35455071814124</v>
      </c>
      <c r="G781" s="239">
        <v>535.41</v>
      </c>
      <c r="H781" s="242" t="s">
        <v>124</v>
      </c>
      <c r="I781" s="242" t="s">
        <v>850</v>
      </c>
      <c r="J781" s="170" t="s">
        <v>96</v>
      </c>
      <c r="K781" s="170" t="s">
        <v>345</v>
      </c>
      <c r="L781" s="170" t="s">
        <v>113</v>
      </c>
      <c r="M781" s="75"/>
      <c r="N781" s="75"/>
      <c r="O781" s="75"/>
    </row>
    <row r="782" spans="1:15" ht="15.6">
      <c r="A782" s="450">
        <v>46107</v>
      </c>
      <c r="B782" s="243" t="s">
        <v>940</v>
      </c>
      <c r="C782" s="170" t="s">
        <v>104</v>
      </c>
      <c r="D782" s="170" t="s">
        <v>97</v>
      </c>
      <c r="E782" s="245">
        <v>228800</v>
      </c>
      <c r="F782" s="454">
        <f t="shared" si="12"/>
        <v>427.33606021553578</v>
      </c>
      <c r="G782" s="239">
        <v>535.41</v>
      </c>
      <c r="H782" s="242" t="s">
        <v>107</v>
      </c>
      <c r="I782" s="242" t="s">
        <v>980</v>
      </c>
      <c r="J782" s="170" t="s">
        <v>96</v>
      </c>
      <c r="K782" s="170" t="s">
        <v>345</v>
      </c>
      <c r="L782" s="170" t="s">
        <v>113</v>
      </c>
      <c r="M782" s="75"/>
      <c r="N782" s="75"/>
      <c r="O782" s="75"/>
    </row>
    <row r="783" spans="1:15" ht="15.6">
      <c r="A783" s="450">
        <v>46107</v>
      </c>
      <c r="B783" s="300" t="s">
        <v>941</v>
      </c>
      <c r="C783" s="248" t="s">
        <v>104</v>
      </c>
      <c r="D783" s="452" t="s">
        <v>97</v>
      </c>
      <c r="E783" s="245">
        <v>581764</v>
      </c>
      <c r="F783" s="454">
        <f t="shared" si="12"/>
        <v>1086.576642199436</v>
      </c>
      <c r="G783" s="239">
        <v>535.41</v>
      </c>
      <c r="H783" s="242" t="s">
        <v>107</v>
      </c>
      <c r="I783" s="242" t="s">
        <v>981</v>
      </c>
      <c r="J783" s="170" t="s">
        <v>96</v>
      </c>
      <c r="K783" s="170" t="s">
        <v>345</v>
      </c>
      <c r="L783" s="170" t="s">
        <v>113</v>
      </c>
      <c r="M783" s="75"/>
      <c r="N783" s="75"/>
      <c r="O783" s="75"/>
    </row>
    <row r="784" spans="1:15" ht="15.6">
      <c r="A784" s="450">
        <v>46107</v>
      </c>
      <c r="B784" s="243" t="s">
        <v>942</v>
      </c>
      <c r="C784" s="170" t="s">
        <v>104</v>
      </c>
      <c r="D784" s="248" t="s">
        <v>97</v>
      </c>
      <c r="E784" s="245">
        <v>563119</v>
      </c>
      <c r="F784" s="454">
        <f t="shared" si="12"/>
        <v>1051.7528622924488</v>
      </c>
      <c r="G784" s="239">
        <v>535.41</v>
      </c>
      <c r="H784" s="242" t="s">
        <v>107</v>
      </c>
      <c r="I784" s="242" t="s">
        <v>982</v>
      </c>
      <c r="J784" s="170" t="s">
        <v>96</v>
      </c>
      <c r="K784" s="170" t="s">
        <v>345</v>
      </c>
      <c r="L784" s="170" t="s">
        <v>113</v>
      </c>
      <c r="M784" s="75"/>
      <c r="N784" s="75"/>
      <c r="O784" s="75"/>
    </row>
    <row r="785" spans="1:15" ht="15.6">
      <c r="A785" s="450">
        <v>46107</v>
      </c>
      <c r="B785" s="243" t="s">
        <v>943</v>
      </c>
      <c r="C785" s="170" t="s">
        <v>104</v>
      </c>
      <c r="D785" s="248" t="s">
        <v>100</v>
      </c>
      <c r="E785" s="245">
        <v>268210</v>
      </c>
      <c r="F785" s="454">
        <f t="shared" si="12"/>
        <v>500.94320240563309</v>
      </c>
      <c r="G785" s="239">
        <v>535.41</v>
      </c>
      <c r="H785" s="242" t="s">
        <v>107</v>
      </c>
      <c r="I785" s="242" t="s">
        <v>983</v>
      </c>
      <c r="J785" s="170" t="s">
        <v>96</v>
      </c>
      <c r="K785" s="170" t="s">
        <v>345</v>
      </c>
      <c r="L785" s="170" t="s">
        <v>113</v>
      </c>
      <c r="M785" s="75"/>
      <c r="N785" s="75"/>
      <c r="O785" s="75"/>
    </row>
    <row r="786" spans="1:15" ht="15.6">
      <c r="A786" s="450">
        <v>46107</v>
      </c>
      <c r="B786" s="243" t="s">
        <v>944</v>
      </c>
      <c r="C786" s="248" t="s">
        <v>104</v>
      </c>
      <c r="D786" s="249" t="s">
        <v>99</v>
      </c>
      <c r="E786" s="245">
        <v>1311000</v>
      </c>
      <c r="F786" s="454">
        <f t="shared" si="12"/>
        <v>2448.5907995741582</v>
      </c>
      <c r="G786" s="239">
        <v>535.41</v>
      </c>
      <c r="H786" s="242" t="s">
        <v>107</v>
      </c>
      <c r="I786" s="242" t="s">
        <v>984</v>
      </c>
      <c r="J786" s="170" t="s">
        <v>96</v>
      </c>
      <c r="K786" s="170" t="s">
        <v>345</v>
      </c>
      <c r="L786" s="170" t="s">
        <v>113</v>
      </c>
      <c r="M786" s="75"/>
      <c r="N786" s="75"/>
      <c r="O786" s="75"/>
    </row>
    <row r="787" spans="1:15" ht="15.6">
      <c r="A787" s="450">
        <v>46107</v>
      </c>
      <c r="B787" s="243" t="s">
        <v>945</v>
      </c>
      <c r="C787" s="170" t="s">
        <v>104</v>
      </c>
      <c r="D787" s="170" t="s">
        <v>98</v>
      </c>
      <c r="E787" s="245">
        <v>328800</v>
      </c>
      <c r="F787" s="454">
        <f t="shared" si="12"/>
        <v>614.10881380624198</v>
      </c>
      <c r="G787" s="239">
        <v>535.41</v>
      </c>
      <c r="H787" s="242" t="s">
        <v>107</v>
      </c>
      <c r="I787" s="242" t="s">
        <v>985</v>
      </c>
      <c r="J787" s="170" t="s">
        <v>96</v>
      </c>
      <c r="K787" s="170" t="s">
        <v>345</v>
      </c>
      <c r="L787" s="170" t="s">
        <v>113</v>
      </c>
      <c r="M787" s="75"/>
      <c r="N787" s="75"/>
      <c r="O787" s="75"/>
    </row>
    <row r="788" spans="1:15" ht="15.6">
      <c r="A788" s="450">
        <v>46107</v>
      </c>
      <c r="B788" s="243" t="s">
        <v>946</v>
      </c>
      <c r="C788" s="170" t="s">
        <v>278</v>
      </c>
      <c r="D788" s="248" t="s">
        <v>98</v>
      </c>
      <c r="E788" s="245">
        <v>10665</v>
      </c>
      <c r="F788" s="454">
        <f t="shared" si="12"/>
        <v>19.919314170448818</v>
      </c>
      <c r="G788" s="239">
        <v>535.41</v>
      </c>
      <c r="H788" s="242" t="s">
        <v>107</v>
      </c>
      <c r="I788" s="242" t="s">
        <v>986</v>
      </c>
      <c r="J788" s="170" t="s">
        <v>96</v>
      </c>
      <c r="K788" s="170" t="s">
        <v>345</v>
      </c>
      <c r="L788" s="170" t="s">
        <v>113</v>
      </c>
      <c r="M788" s="75"/>
      <c r="N788" s="75"/>
      <c r="O788" s="75"/>
    </row>
    <row r="789" spans="1:15" ht="15.6">
      <c r="A789" s="457">
        <v>46108</v>
      </c>
      <c r="B789" s="242" t="s">
        <v>186</v>
      </c>
      <c r="C789" s="170" t="s">
        <v>337</v>
      </c>
      <c r="D789" s="458" t="s">
        <v>99</v>
      </c>
      <c r="E789" s="242">
        <v>1000</v>
      </c>
      <c r="F789" s="454">
        <f t="shared" si="12"/>
        <v>1.9254803020356539</v>
      </c>
      <c r="G789" s="239">
        <v>519.35093749999999</v>
      </c>
      <c r="H789" s="459" t="s">
        <v>111</v>
      </c>
      <c r="I789" s="170" t="s">
        <v>380</v>
      </c>
      <c r="J789" s="170" t="s">
        <v>96</v>
      </c>
      <c r="K789" s="170" t="s">
        <v>345</v>
      </c>
      <c r="L789" s="170" t="s">
        <v>113</v>
      </c>
      <c r="M789" s="361"/>
      <c r="N789" s="361"/>
      <c r="O789" s="271"/>
    </row>
    <row r="790" spans="1:15" ht="15.6">
      <c r="A790" s="457">
        <v>46108</v>
      </c>
      <c r="B790" s="242" t="s">
        <v>187</v>
      </c>
      <c r="C790" s="170" t="s">
        <v>337</v>
      </c>
      <c r="D790" s="458" t="s">
        <v>99</v>
      </c>
      <c r="E790" s="242">
        <v>1000</v>
      </c>
      <c r="F790" s="454">
        <f t="shared" si="12"/>
        <v>1.9254803020356539</v>
      </c>
      <c r="G790" s="239">
        <v>519.35093749999999</v>
      </c>
      <c r="H790" s="459" t="s">
        <v>111</v>
      </c>
      <c r="I790" s="170" t="s">
        <v>380</v>
      </c>
      <c r="J790" s="170" t="s">
        <v>96</v>
      </c>
      <c r="K790" s="170" t="s">
        <v>345</v>
      </c>
      <c r="L790" s="170" t="s">
        <v>113</v>
      </c>
      <c r="M790" s="364"/>
      <c r="N790" s="364"/>
      <c r="O790" s="75"/>
    </row>
    <row r="791" spans="1:15" ht="15.6">
      <c r="A791" s="457">
        <v>46108</v>
      </c>
      <c r="B791" s="242" t="s">
        <v>487</v>
      </c>
      <c r="C791" s="242" t="s">
        <v>463</v>
      </c>
      <c r="D791" s="242" t="s">
        <v>98</v>
      </c>
      <c r="E791" s="460">
        <v>2660</v>
      </c>
      <c r="F791" s="454">
        <f t="shared" si="12"/>
        <v>4.9681552455127846</v>
      </c>
      <c r="G791" s="239">
        <v>535.41</v>
      </c>
      <c r="H791" s="242" t="s">
        <v>168</v>
      </c>
      <c r="I791" s="170" t="s">
        <v>530</v>
      </c>
      <c r="J791" s="170" t="s">
        <v>96</v>
      </c>
      <c r="K791" s="170" t="s">
        <v>345</v>
      </c>
      <c r="L791" s="170" t="s">
        <v>113</v>
      </c>
      <c r="M791" s="75"/>
      <c r="N791" s="75"/>
      <c r="O791" s="75"/>
    </row>
    <row r="792" spans="1:15" ht="15.6">
      <c r="A792" s="457">
        <v>46108</v>
      </c>
      <c r="B792" s="170" t="s">
        <v>488</v>
      </c>
      <c r="C792" s="242" t="s">
        <v>120</v>
      </c>
      <c r="D792" s="242" t="s">
        <v>98</v>
      </c>
      <c r="E792" s="460">
        <v>10000</v>
      </c>
      <c r="F792" s="454">
        <f t="shared" si="12"/>
        <v>18.67727535907062</v>
      </c>
      <c r="G792" s="239">
        <v>535.41</v>
      </c>
      <c r="H792" s="242" t="s">
        <v>168</v>
      </c>
      <c r="I792" s="170" t="s">
        <v>531</v>
      </c>
      <c r="J792" s="170" t="s">
        <v>96</v>
      </c>
      <c r="K792" s="170" t="s">
        <v>345</v>
      </c>
      <c r="L792" s="170" t="s">
        <v>113</v>
      </c>
      <c r="M792" s="75"/>
      <c r="N792" s="75"/>
      <c r="O792" s="75"/>
    </row>
    <row r="793" spans="1:15" ht="15.6">
      <c r="A793" s="457">
        <v>46108</v>
      </c>
      <c r="B793" s="170" t="s">
        <v>489</v>
      </c>
      <c r="C793" s="242" t="s">
        <v>120</v>
      </c>
      <c r="D793" s="242" t="s">
        <v>98</v>
      </c>
      <c r="E793" s="460">
        <v>4000</v>
      </c>
      <c r="F793" s="454">
        <f t="shared" si="12"/>
        <v>7.4709101436282479</v>
      </c>
      <c r="G793" s="239">
        <v>535.41</v>
      </c>
      <c r="H793" s="242" t="s">
        <v>168</v>
      </c>
      <c r="I793" s="170" t="s">
        <v>531</v>
      </c>
      <c r="J793" s="170" t="s">
        <v>96</v>
      </c>
      <c r="K793" s="170" t="s">
        <v>345</v>
      </c>
      <c r="L793" s="170" t="s">
        <v>113</v>
      </c>
      <c r="M793" s="75"/>
      <c r="N793" s="75"/>
      <c r="O793" s="75"/>
    </row>
    <row r="794" spans="1:15" ht="15.6">
      <c r="A794" s="457">
        <v>46108</v>
      </c>
      <c r="B794" s="170" t="s">
        <v>490</v>
      </c>
      <c r="C794" s="242" t="s">
        <v>120</v>
      </c>
      <c r="D794" s="242" t="s">
        <v>98</v>
      </c>
      <c r="E794" s="460">
        <v>3500</v>
      </c>
      <c r="F794" s="454">
        <f t="shared" si="12"/>
        <v>6.5370463756747172</v>
      </c>
      <c r="G794" s="239">
        <v>535.41</v>
      </c>
      <c r="H794" s="242" t="s">
        <v>168</v>
      </c>
      <c r="I794" s="170" t="s">
        <v>531</v>
      </c>
      <c r="J794" s="170" t="s">
        <v>96</v>
      </c>
      <c r="K794" s="170" t="s">
        <v>345</v>
      </c>
      <c r="L794" s="170" t="s">
        <v>113</v>
      </c>
      <c r="M794" s="75"/>
      <c r="N794" s="75"/>
      <c r="O794" s="75"/>
    </row>
    <row r="795" spans="1:15" ht="15.6">
      <c r="A795" s="457">
        <v>46108</v>
      </c>
      <c r="B795" s="170" t="s">
        <v>491</v>
      </c>
      <c r="C795" s="242" t="s">
        <v>120</v>
      </c>
      <c r="D795" s="242" t="s">
        <v>98</v>
      </c>
      <c r="E795" s="460">
        <v>3500</v>
      </c>
      <c r="F795" s="454">
        <f t="shared" si="12"/>
        <v>6.5370463756747172</v>
      </c>
      <c r="G795" s="239">
        <v>535.41</v>
      </c>
      <c r="H795" s="242" t="s">
        <v>168</v>
      </c>
      <c r="I795" s="170" t="s">
        <v>531</v>
      </c>
      <c r="J795" s="170" t="s">
        <v>96</v>
      </c>
      <c r="K795" s="170" t="s">
        <v>345</v>
      </c>
      <c r="L795" s="170" t="s">
        <v>113</v>
      </c>
      <c r="M795" s="75"/>
      <c r="N795" s="75"/>
      <c r="O795" s="75"/>
    </row>
    <row r="796" spans="1:15" ht="15.6">
      <c r="A796" s="457">
        <v>46108</v>
      </c>
      <c r="B796" s="170" t="s">
        <v>492</v>
      </c>
      <c r="C796" s="242" t="s">
        <v>120</v>
      </c>
      <c r="D796" s="242" t="s">
        <v>98</v>
      </c>
      <c r="E796" s="460">
        <v>5600</v>
      </c>
      <c r="F796" s="454">
        <f t="shared" si="12"/>
        <v>10.459274201079547</v>
      </c>
      <c r="G796" s="239">
        <v>535.41</v>
      </c>
      <c r="H796" s="242" t="s">
        <v>168</v>
      </c>
      <c r="I796" s="170" t="s">
        <v>531</v>
      </c>
      <c r="J796" s="170" t="s">
        <v>96</v>
      </c>
      <c r="K796" s="170" t="s">
        <v>345</v>
      </c>
      <c r="L796" s="170" t="s">
        <v>113</v>
      </c>
      <c r="M796" s="75"/>
      <c r="N796" s="75"/>
      <c r="O796" s="75"/>
    </row>
    <row r="797" spans="1:15" ht="15.6">
      <c r="A797" s="457">
        <v>46108</v>
      </c>
      <c r="B797" s="170" t="s">
        <v>493</v>
      </c>
      <c r="C797" s="242" t="s">
        <v>120</v>
      </c>
      <c r="D797" s="242" t="s">
        <v>98</v>
      </c>
      <c r="E797" s="460">
        <v>6000</v>
      </c>
      <c r="F797" s="454">
        <f t="shared" si="12"/>
        <v>11.206365215442371</v>
      </c>
      <c r="G797" s="239">
        <v>535.41</v>
      </c>
      <c r="H797" s="242" t="s">
        <v>168</v>
      </c>
      <c r="I797" s="170" t="s">
        <v>531</v>
      </c>
      <c r="J797" s="170" t="s">
        <v>96</v>
      </c>
      <c r="K797" s="170" t="s">
        <v>345</v>
      </c>
      <c r="L797" s="170" t="s">
        <v>113</v>
      </c>
      <c r="M797" s="75"/>
      <c r="N797" s="75"/>
      <c r="O797" s="75"/>
    </row>
    <row r="798" spans="1:15" ht="15.6">
      <c r="A798" s="457">
        <v>46108</v>
      </c>
      <c r="B798" s="170" t="s">
        <v>494</v>
      </c>
      <c r="C798" s="242" t="s">
        <v>120</v>
      </c>
      <c r="D798" s="242" t="s">
        <v>98</v>
      </c>
      <c r="E798" s="460">
        <v>1250</v>
      </c>
      <c r="F798" s="454">
        <f t="shared" si="12"/>
        <v>2.3346594198838275</v>
      </c>
      <c r="G798" s="239">
        <v>535.41</v>
      </c>
      <c r="H798" s="242" t="s">
        <v>168</v>
      </c>
      <c r="I798" s="170" t="s">
        <v>531</v>
      </c>
      <c r="J798" s="170" t="s">
        <v>96</v>
      </c>
      <c r="K798" s="170" t="s">
        <v>345</v>
      </c>
      <c r="L798" s="170" t="s">
        <v>113</v>
      </c>
      <c r="M798" s="75"/>
      <c r="N798" s="75"/>
      <c r="O798" s="75"/>
    </row>
    <row r="799" spans="1:15" ht="15.6">
      <c r="A799" s="457">
        <v>46108</v>
      </c>
      <c r="B799" s="170" t="s">
        <v>495</v>
      </c>
      <c r="C799" s="242" t="s">
        <v>120</v>
      </c>
      <c r="D799" s="242" t="s">
        <v>98</v>
      </c>
      <c r="E799" s="460">
        <v>1200</v>
      </c>
      <c r="F799" s="454">
        <f t="shared" ref="F799:F862" si="13">E799/G799</f>
        <v>2.2412730430884742</v>
      </c>
      <c r="G799" s="239">
        <v>535.41</v>
      </c>
      <c r="H799" s="242" t="s">
        <v>168</v>
      </c>
      <c r="I799" s="170" t="s">
        <v>531</v>
      </c>
      <c r="J799" s="170" t="s">
        <v>96</v>
      </c>
      <c r="K799" s="170" t="s">
        <v>345</v>
      </c>
      <c r="L799" s="170" t="s">
        <v>113</v>
      </c>
      <c r="M799" s="75"/>
      <c r="N799" s="75"/>
      <c r="O799" s="75"/>
    </row>
    <row r="800" spans="1:15" ht="15.6">
      <c r="A800" s="457">
        <v>46108</v>
      </c>
      <c r="B800" s="170" t="s">
        <v>496</v>
      </c>
      <c r="C800" s="242" t="s">
        <v>120</v>
      </c>
      <c r="D800" s="242" t="s">
        <v>98</v>
      </c>
      <c r="E800" s="460">
        <v>3700</v>
      </c>
      <c r="F800" s="454">
        <f t="shared" si="13"/>
        <v>6.9105918828561297</v>
      </c>
      <c r="G800" s="239">
        <v>535.41</v>
      </c>
      <c r="H800" s="242" t="s">
        <v>168</v>
      </c>
      <c r="I800" s="170" t="s">
        <v>531</v>
      </c>
      <c r="J800" s="170" t="s">
        <v>96</v>
      </c>
      <c r="K800" s="170" t="s">
        <v>345</v>
      </c>
      <c r="L800" s="170" t="s">
        <v>113</v>
      </c>
      <c r="M800" s="75"/>
      <c r="N800" s="75"/>
      <c r="O800" s="75"/>
    </row>
    <row r="801" spans="1:15" ht="15.6">
      <c r="A801" s="457">
        <v>46108</v>
      </c>
      <c r="B801" s="170" t="s">
        <v>497</v>
      </c>
      <c r="C801" s="242" t="s">
        <v>120</v>
      </c>
      <c r="D801" s="242" t="s">
        <v>98</v>
      </c>
      <c r="E801" s="460">
        <v>17550</v>
      </c>
      <c r="F801" s="454">
        <f t="shared" si="13"/>
        <v>32.778618255168936</v>
      </c>
      <c r="G801" s="239">
        <v>535.41</v>
      </c>
      <c r="H801" s="242" t="s">
        <v>168</v>
      </c>
      <c r="I801" s="170" t="s">
        <v>531</v>
      </c>
      <c r="J801" s="170" t="s">
        <v>96</v>
      </c>
      <c r="K801" s="170" t="s">
        <v>345</v>
      </c>
      <c r="L801" s="170" t="s">
        <v>113</v>
      </c>
      <c r="M801" s="75"/>
      <c r="N801" s="75"/>
      <c r="O801" s="75"/>
    </row>
    <row r="802" spans="1:15" ht="15.6">
      <c r="A802" s="457">
        <v>46108</v>
      </c>
      <c r="B802" s="170" t="s">
        <v>498</v>
      </c>
      <c r="C802" s="242" t="s">
        <v>120</v>
      </c>
      <c r="D802" s="242" t="s">
        <v>98</v>
      </c>
      <c r="E802" s="460">
        <v>11100</v>
      </c>
      <c r="F802" s="454">
        <f t="shared" si="13"/>
        <v>20.731775648568387</v>
      </c>
      <c r="G802" s="239">
        <v>535.41</v>
      </c>
      <c r="H802" s="242" t="s">
        <v>168</v>
      </c>
      <c r="I802" s="170" t="s">
        <v>531</v>
      </c>
      <c r="J802" s="170" t="s">
        <v>96</v>
      </c>
      <c r="K802" s="170" t="s">
        <v>345</v>
      </c>
      <c r="L802" s="170" t="s">
        <v>113</v>
      </c>
      <c r="M802" s="75"/>
      <c r="N802" s="75"/>
      <c r="O802" s="75"/>
    </row>
    <row r="803" spans="1:15" ht="15.6">
      <c r="A803" s="467">
        <v>46108</v>
      </c>
      <c r="B803" s="242" t="s">
        <v>499</v>
      </c>
      <c r="C803" s="170" t="s">
        <v>337</v>
      </c>
      <c r="D803" s="242" t="s">
        <v>98</v>
      </c>
      <c r="E803" s="298">
        <v>1000</v>
      </c>
      <c r="F803" s="454">
        <f t="shared" si="13"/>
        <v>1.867727535907062</v>
      </c>
      <c r="G803" s="239">
        <v>535.41</v>
      </c>
      <c r="H803" s="242" t="s">
        <v>168</v>
      </c>
      <c r="I803" s="242" t="s">
        <v>510</v>
      </c>
      <c r="J803" s="170" t="s">
        <v>96</v>
      </c>
      <c r="K803" s="170" t="s">
        <v>345</v>
      </c>
      <c r="L803" s="170" t="s">
        <v>113</v>
      </c>
      <c r="M803" s="75"/>
      <c r="N803" s="75"/>
      <c r="O803" s="75"/>
    </row>
    <row r="804" spans="1:15" ht="15.6">
      <c r="A804" s="467">
        <v>46108</v>
      </c>
      <c r="B804" s="242" t="s">
        <v>470</v>
      </c>
      <c r="C804" s="170" t="s">
        <v>337</v>
      </c>
      <c r="D804" s="242" t="s">
        <v>98</v>
      </c>
      <c r="E804" s="298">
        <v>1000</v>
      </c>
      <c r="F804" s="454">
        <f t="shared" si="13"/>
        <v>1.867727535907062</v>
      </c>
      <c r="G804" s="239">
        <v>535.41</v>
      </c>
      <c r="H804" s="242" t="s">
        <v>168</v>
      </c>
      <c r="I804" s="242" t="s">
        <v>510</v>
      </c>
      <c r="J804" s="170" t="s">
        <v>96</v>
      </c>
      <c r="K804" s="170" t="s">
        <v>345</v>
      </c>
      <c r="L804" s="170" t="s">
        <v>113</v>
      </c>
      <c r="M804" s="75"/>
      <c r="N804" s="75"/>
      <c r="O804" s="75"/>
    </row>
    <row r="805" spans="1:15" ht="15.6">
      <c r="A805" s="467">
        <v>46108</v>
      </c>
      <c r="B805" s="242" t="s">
        <v>500</v>
      </c>
      <c r="C805" s="170" t="s">
        <v>337</v>
      </c>
      <c r="D805" s="242" t="s">
        <v>98</v>
      </c>
      <c r="E805" s="298">
        <v>1000</v>
      </c>
      <c r="F805" s="454">
        <f t="shared" si="13"/>
        <v>1.867727535907062</v>
      </c>
      <c r="G805" s="239">
        <v>535.41</v>
      </c>
      <c r="H805" s="242" t="s">
        <v>168</v>
      </c>
      <c r="I805" s="242" t="s">
        <v>510</v>
      </c>
      <c r="J805" s="170" t="s">
        <v>96</v>
      </c>
      <c r="K805" s="170" t="s">
        <v>345</v>
      </c>
      <c r="L805" s="170" t="s">
        <v>113</v>
      </c>
      <c r="M805" s="75"/>
      <c r="N805" s="75"/>
      <c r="O805" s="75"/>
    </row>
    <row r="806" spans="1:15" ht="15.6">
      <c r="A806" s="467">
        <v>46108</v>
      </c>
      <c r="B806" s="242" t="s">
        <v>501</v>
      </c>
      <c r="C806" s="170" t="s">
        <v>337</v>
      </c>
      <c r="D806" s="242" t="s">
        <v>98</v>
      </c>
      <c r="E806" s="298">
        <v>1000</v>
      </c>
      <c r="F806" s="454">
        <f t="shared" si="13"/>
        <v>1.867727535907062</v>
      </c>
      <c r="G806" s="239">
        <v>535.41</v>
      </c>
      <c r="H806" s="242" t="s">
        <v>168</v>
      </c>
      <c r="I806" s="242" t="s">
        <v>510</v>
      </c>
      <c r="J806" s="170" t="s">
        <v>96</v>
      </c>
      <c r="K806" s="170" t="s">
        <v>345</v>
      </c>
      <c r="L806" s="170" t="s">
        <v>113</v>
      </c>
      <c r="M806" s="75"/>
      <c r="N806" s="75"/>
      <c r="O806" s="75"/>
    </row>
    <row r="807" spans="1:15" ht="15.6">
      <c r="A807" s="457">
        <v>46108</v>
      </c>
      <c r="B807" s="242" t="s">
        <v>1027</v>
      </c>
      <c r="C807" s="242" t="s">
        <v>402</v>
      </c>
      <c r="D807" s="242" t="s">
        <v>259</v>
      </c>
      <c r="E807" s="242">
        <v>4000</v>
      </c>
      <c r="F807" s="454">
        <f t="shared" si="13"/>
        <v>7.4709101436282479</v>
      </c>
      <c r="G807" s="239">
        <v>535.41</v>
      </c>
      <c r="H807" s="242" t="s">
        <v>122</v>
      </c>
      <c r="I807" s="242" t="s">
        <v>634</v>
      </c>
      <c r="J807" s="170" t="s">
        <v>96</v>
      </c>
      <c r="K807" s="170" t="s">
        <v>345</v>
      </c>
      <c r="L807" s="170" t="s">
        <v>113</v>
      </c>
      <c r="M807" s="75"/>
      <c r="N807" s="75"/>
      <c r="O807" s="75"/>
    </row>
    <row r="808" spans="1:15" ht="15.6">
      <c r="A808" s="457">
        <v>46108</v>
      </c>
      <c r="B808" s="242" t="s">
        <v>1027</v>
      </c>
      <c r="C808" s="242" t="s">
        <v>402</v>
      </c>
      <c r="D808" s="242" t="s">
        <v>259</v>
      </c>
      <c r="E808" s="242">
        <v>4000</v>
      </c>
      <c r="F808" s="454">
        <f t="shared" si="13"/>
        <v>7.4709101436282479</v>
      </c>
      <c r="G808" s="239">
        <v>535.41</v>
      </c>
      <c r="H808" s="242" t="s">
        <v>122</v>
      </c>
      <c r="I808" s="242" t="s">
        <v>635</v>
      </c>
      <c r="J808" s="170" t="s">
        <v>96</v>
      </c>
      <c r="K808" s="170" t="s">
        <v>345</v>
      </c>
      <c r="L808" s="170" t="s">
        <v>113</v>
      </c>
      <c r="M808" s="75"/>
      <c r="N808" s="75"/>
      <c r="O808" s="75"/>
    </row>
    <row r="809" spans="1:15" ht="15.6">
      <c r="A809" s="457">
        <v>46108</v>
      </c>
      <c r="B809" s="242" t="s">
        <v>1027</v>
      </c>
      <c r="C809" s="170" t="s">
        <v>337</v>
      </c>
      <c r="D809" s="242" t="s">
        <v>259</v>
      </c>
      <c r="E809" s="242">
        <v>500</v>
      </c>
      <c r="F809" s="454">
        <f t="shared" si="13"/>
        <v>0.93386376795353099</v>
      </c>
      <c r="G809" s="239">
        <v>535.41</v>
      </c>
      <c r="H809" s="242" t="s">
        <v>131</v>
      </c>
      <c r="I809" s="242" t="s">
        <v>653</v>
      </c>
      <c r="J809" s="170" t="s">
        <v>96</v>
      </c>
      <c r="K809" s="170" t="s">
        <v>345</v>
      </c>
      <c r="L809" s="170" t="s">
        <v>113</v>
      </c>
      <c r="M809" s="75"/>
      <c r="N809" s="75"/>
      <c r="O809" s="75"/>
    </row>
    <row r="810" spans="1:15" ht="15.6">
      <c r="A810" s="457">
        <v>46108</v>
      </c>
      <c r="B810" s="242" t="s">
        <v>1027</v>
      </c>
      <c r="C810" s="170" t="s">
        <v>337</v>
      </c>
      <c r="D810" s="242" t="s">
        <v>259</v>
      </c>
      <c r="E810" s="242">
        <v>500</v>
      </c>
      <c r="F810" s="454">
        <f t="shared" si="13"/>
        <v>0.93386376795353099</v>
      </c>
      <c r="G810" s="239">
        <v>535.41</v>
      </c>
      <c r="H810" s="242" t="s">
        <v>131</v>
      </c>
      <c r="I810" s="242" t="s">
        <v>653</v>
      </c>
      <c r="J810" s="170" t="s">
        <v>96</v>
      </c>
      <c r="K810" s="170" t="s">
        <v>345</v>
      </c>
      <c r="L810" s="170" t="s">
        <v>113</v>
      </c>
      <c r="M810" s="75"/>
      <c r="N810" s="75"/>
      <c r="O810" s="75"/>
    </row>
    <row r="811" spans="1:15" ht="15.6">
      <c r="A811" s="457">
        <v>46108</v>
      </c>
      <c r="B811" s="242" t="s">
        <v>1057</v>
      </c>
      <c r="C811" s="242" t="s">
        <v>647</v>
      </c>
      <c r="D811" s="242" t="s">
        <v>259</v>
      </c>
      <c r="E811" s="242">
        <v>1600</v>
      </c>
      <c r="F811" s="454">
        <f t="shared" si="13"/>
        <v>2.9883640574512991</v>
      </c>
      <c r="G811" s="239">
        <v>535.41</v>
      </c>
      <c r="H811" s="242" t="s">
        <v>131</v>
      </c>
      <c r="I811" s="242" t="s">
        <v>658</v>
      </c>
      <c r="J811" s="170" t="s">
        <v>96</v>
      </c>
      <c r="K811" s="170" t="s">
        <v>345</v>
      </c>
      <c r="L811" s="170" t="s">
        <v>113</v>
      </c>
      <c r="M811" s="75"/>
      <c r="N811" s="75"/>
      <c r="O811" s="75"/>
    </row>
    <row r="812" spans="1:15" ht="15.6">
      <c r="A812" s="457">
        <v>46108</v>
      </c>
      <c r="B812" s="242" t="s">
        <v>1027</v>
      </c>
      <c r="C812" s="170" t="s">
        <v>337</v>
      </c>
      <c r="D812" s="242" t="s">
        <v>259</v>
      </c>
      <c r="E812" s="242">
        <v>500</v>
      </c>
      <c r="F812" s="454">
        <f t="shared" si="13"/>
        <v>0.93386376795353099</v>
      </c>
      <c r="G812" s="239">
        <v>535.41</v>
      </c>
      <c r="H812" s="242" t="s">
        <v>131</v>
      </c>
      <c r="I812" s="242" t="s">
        <v>653</v>
      </c>
      <c r="J812" s="170" t="s">
        <v>96</v>
      </c>
      <c r="K812" s="170" t="s">
        <v>345</v>
      </c>
      <c r="L812" s="170" t="s">
        <v>113</v>
      </c>
      <c r="M812" s="75"/>
      <c r="N812" s="75"/>
      <c r="O812" s="75"/>
    </row>
    <row r="813" spans="1:15" ht="15.6">
      <c r="A813" s="457">
        <v>46108</v>
      </c>
      <c r="B813" s="242" t="s">
        <v>1027</v>
      </c>
      <c r="C813" s="170" t="s">
        <v>337</v>
      </c>
      <c r="D813" s="242" t="s">
        <v>259</v>
      </c>
      <c r="E813" s="242">
        <v>500</v>
      </c>
      <c r="F813" s="454">
        <f t="shared" si="13"/>
        <v>0.93386376795353099</v>
      </c>
      <c r="G813" s="239">
        <v>535.41</v>
      </c>
      <c r="H813" s="242" t="s">
        <v>131</v>
      </c>
      <c r="I813" s="242" t="s">
        <v>653</v>
      </c>
      <c r="J813" s="170" t="s">
        <v>96</v>
      </c>
      <c r="K813" s="170" t="s">
        <v>345</v>
      </c>
      <c r="L813" s="170" t="s">
        <v>113</v>
      </c>
      <c r="M813" s="75"/>
      <c r="N813" s="75"/>
      <c r="O813" s="75"/>
    </row>
    <row r="814" spans="1:15" ht="15.6">
      <c r="A814" s="468">
        <v>46108</v>
      </c>
      <c r="B814" s="170" t="s">
        <v>710</v>
      </c>
      <c r="C814" s="170" t="s">
        <v>337</v>
      </c>
      <c r="D814" s="456" t="s">
        <v>97</v>
      </c>
      <c r="E814" s="367">
        <v>500</v>
      </c>
      <c r="F814" s="454">
        <f t="shared" si="13"/>
        <v>0.93386376795353099</v>
      </c>
      <c r="G814" s="239">
        <v>535.41</v>
      </c>
      <c r="H814" s="456" t="s">
        <v>134</v>
      </c>
      <c r="I814" s="170" t="s">
        <v>730</v>
      </c>
      <c r="J814" s="170" t="s">
        <v>96</v>
      </c>
      <c r="K814" s="170" t="s">
        <v>345</v>
      </c>
      <c r="L814" s="170" t="s">
        <v>113</v>
      </c>
      <c r="M814" s="75"/>
      <c r="N814" s="75"/>
      <c r="O814" s="75"/>
    </row>
    <row r="815" spans="1:15" ht="15.6">
      <c r="A815" s="468">
        <v>46108</v>
      </c>
      <c r="B815" s="170" t="s">
        <v>711</v>
      </c>
      <c r="C815" s="170" t="s">
        <v>337</v>
      </c>
      <c r="D815" s="456" t="s">
        <v>97</v>
      </c>
      <c r="E815" s="367">
        <v>500</v>
      </c>
      <c r="F815" s="454">
        <f t="shared" si="13"/>
        <v>0.93386376795353099</v>
      </c>
      <c r="G815" s="239">
        <v>535.41</v>
      </c>
      <c r="H815" s="456" t="s">
        <v>134</v>
      </c>
      <c r="I815" s="170" t="s">
        <v>730</v>
      </c>
      <c r="J815" s="170" t="s">
        <v>96</v>
      </c>
      <c r="K815" s="170" t="s">
        <v>345</v>
      </c>
      <c r="L815" s="170" t="s">
        <v>113</v>
      </c>
      <c r="M815" s="75"/>
      <c r="N815" s="75"/>
      <c r="O815" s="75"/>
    </row>
    <row r="816" spans="1:15" ht="15.6">
      <c r="A816" s="468">
        <v>46108</v>
      </c>
      <c r="B816" s="170" t="s">
        <v>712</v>
      </c>
      <c r="C816" s="170" t="s">
        <v>337</v>
      </c>
      <c r="D816" s="456" t="s">
        <v>97</v>
      </c>
      <c r="E816" s="367">
        <v>500</v>
      </c>
      <c r="F816" s="454">
        <f t="shared" si="13"/>
        <v>0.93386376795353099</v>
      </c>
      <c r="G816" s="239">
        <v>535.41</v>
      </c>
      <c r="H816" s="456" t="s">
        <v>134</v>
      </c>
      <c r="I816" s="170" t="s">
        <v>730</v>
      </c>
      <c r="J816" s="170" t="s">
        <v>96</v>
      </c>
      <c r="K816" s="170" t="s">
        <v>345</v>
      </c>
      <c r="L816" s="170" t="s">
        <v>113</v>
      </c>
      <c r="M816" s="75"/>
      <c r="N816" s="75"/>
      <c r="O816" s="75"/>
    </row>
    <row r="817" spans="1:15" ht="15.6">
      <c r="A817" s="468">
        <v>46108</v>
      </c>
      <c r="B817" s="170" t="s">
        <v>713</v>
      </c>
      <c r="C817" s="170" t="s">
        <v>337</v>
      </c>
      <c r="D817" s="456" t="s">
        <v>97</v>
      </c>
      <c r="E817" s="367">
        <v>500</v>
      </c>
      <c r="F817" s="454">
        <f t="shared" si="13"/>
        <v>0.93386376795353099</v>
      </c>
      <c r="G817" s="239">
        <v>535.41</v>
      </c>
      <c r="H817" s="456" t="s">
        <v>134</v>
      </c>
      <c r="I817" s="170" t="s">
        <v>730</v>
      </c>
      <c r="J817" s="170" t="s">
        <v>96</v>
      </c>
      <c r="K817" s="170" t="s">
        <v>345</v>
      </c>
      <c r="L817" s="170" t="s">
        <v>113</v>
      </c>
      <c r="M817" s="75"/>
      <c r="N817" s="75"/>
      <c r="O817" s="75"/>
    </row>
    <row r="818" spans="1:15" ht="15.6">
      <c r="A818" s="468">
        <v>46108</v>
      </c>
      <c r="B818" s="170" t="s">
        <v>714</v>
      </c>
      <c r="C818" s="170" t="s">
        <v>414</v>
      </c>
      <c r="D818" s="456" t="s">
        <v>97</v>
      </c>
      <c r="E818" s="367">
        <v>1500</v>
      </c>
      <c r="F818" s="454">
        <f t="shared" si="13"/>
        <v>2.8015913038605929</v>
      </c>
      <c r="G818" s="239">
        <v>535.41</v>
      </c>
      <c r="H818" s="456" t="s">
        <v>134</v>
      </c>
      <c r="I818" s="170" t="s">
        <v>737</v>
      </c>
      <c r="J818" s="170" t="s">
        <v>96</v>
      </c>
      <c r="K818" s="170" t="s">
        <v>345</v>
      </c>
      <c r="L818" s="170" t="s">
        <v>113</v>
      </c>
      <c r="M818" s="75"/>
      <c r="N818" s="75"/>
      <c r="O818" s="75"/>
    </row>
    <row r="819" spans="1:15" ht="15.6">
      <c r="A819" s="457">
        <v>46108</v>
      </c>
      <c r="B819" s="242" t="s">
        <v>816</v>
      </c>
      <c r="C819" s="170" t="s">
        <v>337</v>
      </c>
      <c r="D819" s="242" t="s">
        <v>97</v>
      </c>
      <c r="E819" s="242">
        <v>500</v>
      </c>
      <c r="F819" s="454">
        <f t="shared" si="13"/>
        <v>0.93386376795353099</v>
      </c>
      <c r="G819" s="239">
        <v>535.41</v>
      </c>
      <c r="H819" s="242" t="s">
        <v>124</v>
      </c>
      <c r="I819" s="242" t="s">
        <v>836</v>
      </c>
      <c r="J819" s="170" t="s">
        <v>96</v>
      </c>
      <c r="K819" s="170" t="s">
        <v>345</v>
      </c>
      <c r="L819" s="170" t="s">
        <v>113</v>
      </c>
      <c r="M819" s="75"/>
      <c r="N819" s="75"/>
      <c r="O819" s="75"/>
    </row>
    <row r="820" spans="1:15" ht="15.6">
      <c r="A820" s="457">
        <v>46108</v>
      </c>
      <c r="B820" s="242" t="s">
        <v>821</v>
      </c>
      <c r="C820" s="242" t="s">
        <v>818</v>
      </c>
      <c r="D820" s="242" t="s">
        <v>97</v>
      </c>
      <c r="E820" s="242">
        <v>1500</v>
      </c>
      <c r="F820" s="454">
        <f t="shared" si="13"/>
        <v>2.8015913038605929</v>
      </c>
      <c r="G820" s="239">
        <v>535.41</v>
      </c>
      <c r="H820" s="242" t="s">
        <v>124</v>
      </c>
      <c r="I820" s="242" t="s">
        <v>849</v>
      </c>
      <c r="J820" s="170" t="s">
        <v>96</v>
      </c>
      <c r="K820" s="170" t="s">
        <v>345</v>
      </c>
      <c r="L820" s="170" t="s">
        <v>113</v>
      </c>
      <c r="M820" s="75"/>
      <c r="N820" s="75"/>
      <c r="O820" s="75"/>
    </row>
    <row r="821" spans="1:15" ht="15.6">
      <c r="A821" s="457">
        <v>46108</v>
      </c>
      <c r="B821" s="242" t="s">
        <v>822</v>
      </c>
      <c r="C821" s="170" t="s">
        <v>337</v>
      </c>
      <c r="D821" s="242" t="s">
        <v>97</v>
      </c>
      <c r="E821" s="242">
        <v>500</v>
      </c>
      <c r="F821" s="454">
        <f t="shared" si="13"/>
        <v>0.93386376795353099</v>
      </c>
      <c r="G821" s="239">
        <v>535.41</v>
      </c>
      <c r="H821" s="242" t="s">
        <v>124</v>
      </c>
      <c r="I821" s="242" t="s">
        <v>836</v>
      </c>
      <c r="J821" s="170" t="s">
        <v>96</v>
      </c>
      <c r="K821" s="170" t="s">
        <v>345</v>
      </c>
      <c r="L821" s="170" t="s">
        <v>113</v>
      </c>
      <c r="M821" s="75"/>
      <c r="N821" s="75"/>
      <c r="O821" s="75"/>
    </row>
    <row r="822" spans="1:15" ht="15.6">
      <c r="A822" s="457">
        <v>46108</v>
      </c>
      <c r="B822" s="242" t="s">
        <v>823</v>
      </c>
      <c r="C822" s="170" t="s">
        <v>337</v>
      </c>
      <c r="D822" s="242" t="s">
        <v>97</v>
      </c>
      <c r="E822" s="242">
        <v>500</v>
      </c>
      <c r="F822" s="454">
        <f t="shared" si="13"/>
        <v>0.93386376795353099</v>
      </c>
      <c r="G822" s="239">
        <v>535.41</v>
      </c>
      <c r="H822" s="242" t="s">
        <v>124</v>
      </c>
      <c r="I822" s="242" t="s">
        <v>836</v>
      </c>
      <c r="J822" s="170" t="s">
        <v>96</v>
      </c>
      <c r="K822" s="170" t="s">
        <v>345</v>
      </c>
      <c r="L822" s="170" t="s">
        <v>113</v>
      </c>
      <c r="M822" s="75"/>
      <c r="N822" s="75"/>
      <c r="O822" s="75"/>
    </row>
    <row r="823" spans="1:15" ht="15.6">
      <c r="A823" s="457">
        <v>46108</v>
      </c>
      <c r="B823" s="242" t="s">
        <v>825</v>
      </c>
      <c r="C823" s="242" t="s">
        <v>402</v>
      </c>
      <c r="D823" s="242" t="s">
        <v>97</v>
      </c>
      <c r="E823" s="242">
        <v>7000</v>
      </c>
      <c r="F823" s="454">
        <f t="shared" si="13"/>
        <v>13.074092751349434</v>
      </c>
      <c r="G823" s="239">
        <v>535.41</v>
      </c>
      <c r="H823" s="242" t="s">
        <v>124</v>
      </c>
      <c r="I823" s="242" t="s">
        <v>852</v>
      </c>
      <c r="J823" s="170" t="s">
        <v>96</v>
      </c>
      <c r="K823" s="170" t="s">
        <v>345</v>
      </c>
      <c r="L823" s="170" t="s">
        <v>113</v>
      </c>
      <c r="M823" s="75"/>
      <c r="N823" s="75"/>
      <c r="O823" s="75"/>
    </row>
    <row r="824" spans="1:15" ht="15.6">
      <c r="A824" s="457">
        <v>46108</v>
      </c>
      <c r="B824" s="242" t="s">
        <v>826</v>
      </c>
      <c r="C824" s="170" t="s">
        <v>337</v>
      </c>
      <c r="D824" s="242" t="s">
        <v>97</v>
      </c>
      <c r="E824" s="242">
        <v>500</v>
      </c>
      <c r="F824" s="454">
        <f t="shared" si="13"/>
        <v>0.93386376795353099</v>
      </c>
      <c r="G824" s="239">
        <v>535.41</v>
      </c>
      <c r="H824" s="242" t="s">
        <v>124</v>
      </c>
      <c r="I824" s="242" t="s">
        <v>836</v>
      </c>
      <c r="J824" s="170" t="s">
        <v>96</v>
      </c>
      <c r="K824" s="170" t="s">
        <v>345</v>
      </c>
      <c r="L824" s="170" t="s">
        <v>113</v>
      </c>
      <c r="M824" s="75"/>
      <c r="N824" s="75"/>
      <c r="O824" s="75"/>
    </row>
    <row r="825" spans="1:15" ht="15.6">
      <c r="A825" s="457">
        <v>46108</v>
      </c>
      <c r="B825" s="242" t="s">
        <v>827</v>
      </c>
      <c r="C825" s="170" t="s">
        <v>337</v>
      </c>
      <c r="D825" s="242" t="s">
        <v>97</v>
      </c>
      <c r="E825" s="242">
        <v>500</v>
      </c>
      <c r="F825" s="454">
        <f t="shared" si="13"/>
        <v>0.93386376795353099</v>
      </c>
      <c r="G825" s="239">
        <v>535.41</v>
      </c>
      <c r="H825" s="242" t="s">
        <v>124</v>
      </c>
      <c r="I825" s="242" t="s">
        <v>836</v>
      </c>
      <c r="J825" s="170" t="s">
        <v>96</v>
      </c>
      <c r="K825" s="170" t="s">
        <v>345</v>
      </c>
      <c r="L825" s="170" t="s">
        <v>113</v>
      </c>
      <c r="M825" s="75"/>
      <c r="N825" s="75"/>
      <c r="O825" s="75"/>
    </row>
    <row r="826" spans="1:15" ht="15.6">
      <c r="A826" s="457">
        <v>46108</v>
      </c>
      <c r="B826" s="242" t="s">
        <v>817</v>
      </c>
      <c r="C826" s="242" t="s">
        <v>818</v>
      </c>
      <c r="D826" s="242" t="s">
        <v>97</v>
      </c>
      <c r="E826" s="242">
        <v>1500</v>
      </c>
      <c r="F826" s="454">
        <f t="shared" si="13"/>
        <v>2.8015913038605929</v>
      </c>
      <c r="G826" s="239">
        <v>535.41</v>
      </c>
      <c r="H826" s="242" t="s">
        <v>124</v>
      </c>
      <c r="I826" s="242" t="s">
        <v>849</v>
      </c>
      <c r="J826" s="170" t="s">
        <v>96</v>
      </c>
      <c r="K826" s="170" t="s">
        <v>345</v>
      </c>
      <c r="L826" s="170" t="s">
        <v>113</v>
      </c>
      <c r="M826" s="75"/>
      <c r="N826" s="75"/>
      <c r="O826" s="75"/>
    </row>
    <row r="827" spans="1:15" ht="15.6">
      <c r="A827" s="457">
        <v>46108</v>
      </c>
      <c r="B827" s="242" t="s">
        <v>828</v>
      </c>
      <c r="C827" s="170" t="s">
        <v>337</v>
      </c>
      <c r="D827" s="242" t="s">
        <v>97</v>
      </c>
      <c r="E827" s="242">
        <v>500</v>
      </c>
      <c r="F827" s="454">
        <f t="shared" si="13"/>
        <v>0.93386376795353099</v>
      </c>
      <c r="G827" s="239">
        <v>535.41</v>
      </c>
      <c r="H827" s="242" t="s">
        <v>124</v>
      </c>
      <c r="I827" s="242" t="s">
        <v>836</v>
      </c>
      <c r="J827" s="170" t="s">
        <v>96</v>
      </c>
      <c r="K827" s="170" t="s">
        <v>345</v>
      </c>
      <c r="L827" s="170" t="s">
        <v>113</v>
      </c>
      <c r="M827" s="75"/>
      <c r="N827" s="75"/>
      <c r="O827" s="75"/>
    </row>
    <row r="828" spans="1:15" ht="15.6">
      <c r="A828" s="461">
        <v>46109</v>
      </c>
      <c r="B828" s="464" t="s">
        <v>400</v>
      </c>
      <c r="C828" s="170" t="s">
        <v>337</v>
      </c>
      <c r="D828" s="463" t="s">
        <v>97</v>
      </c>
      <c r="E828" s="464">
        <v>1000</v>
      </c>
      <c r="F828" s="454">
        <f t="shared" si="13"/>
        <v>1.867727535907062</v>
      </c>
      <c r="G828" s="239">
        <v>535.41</v>
      </c>
      <c r="H828" s="165" t="s">
        <v>128</v>
      </c>
      <c r="I828" s="464" t="s">
        <v>431</v>
      </c>
      <c r="J828" s="170" t="s">
        <v>96</v>
      </c>
      <c r="K828" s="170" t="s">
        <v>345</v>
      </c>
      <c r="L828" s="170" t="s">
        <v>113</v>
      </c>
      <c r="M828" s="75"/>
      <c r="N828" s="75"/>
      <c r="O828" s="75"/>
    </row>
    <row r="829" spans="1:15" ht="15.6">
      <c r="A829" s="461">
        <v>46109</v>
      </c>
      <c r="B829" s="464" t="s">
        <v>401</v>
      </c>
      <c r="C829" s="242" t="s">
        <v>402</v>
      </c>
      <c r="D829" s="463" t="s">
        <v>97</v>
      </c>
      <c r="E829" s="464">
        <v>8000</v>
      </c>
      <c r="F829" s="454">
        <f t="shared" si="13"/>
        <v>14.941820287256496</v>
      </c>
      <c r="G829" s="239">
        <v>535.41</v>
      </c>
      <c r="H829" s="165" t="s">
        <v>128</v>
      </c>
      <c r="I829" s="464" t="s">
        <v>432</v>
      </c>
      <c r="J829" s="170" t="s">
        <v>96</v>
      </c>
      <c r="K829" s="170" t="s">
        <v>345</v>
      </c>
      <c r="L829" s="170" t="s">
        <v>113</v>
      </c>
      <c r="M829" s="75"/>
      <c r="N829" s="75"/>
      <c r="O829" s="75"/>
    </row>
    <row r="830" spans="1:15" ht="15.6">
      <c r="A830" s="461">
        <v>46109</v>
      </c>
      <c r="B830" s="464" t="s">
        <v>403</v>
      </c>
      <c r="C830" s="170" t="s">
        <v>337</v>
      </c>
      <c r="D830" s="463" t="s">
        <v>97</v>
      </c>
      <c r="E830" s="464">
        <v>1000</v>
      </c>
      <c r="F830" s="454">
        <f t="shared" si="13"/>
        <v>1.867727535907062</v>
      </c>
      <c r="G830" s="239">
        <v>535.41</v>
      </c>
      <c r="H830" s="165" t="s">
        <v>128</v>
      </c>
      <c r="I830" s="464" t="s">
        <v>431</v>
      </c>
      <c r="J830" s="170" t="s">
        <v>96</v>
      </c>
      <c r="K830" s="170" t="s">
        <v>345</v>
      </c>
      <c r="L830" s="170" t="s">
        <v>113</v>
      </c>
      <c r="M830" s="75"/>
      <c r="N830" s="75"/>
      <c r="O830" s="75"/>
    </row>
    <row r="831" spans="1:15" ht="15.6">
      <c r="A831" s="428">
        <v>46109</v>
      </c>
      <c r="B831" s="429" t="s">
        <v>1028</v>
      </c>
      <c r="C831" s="242" t="s">
        <v>402</v>
      </c>
      <c r="D831" s="429" t="s">
        <v>259</v>
      </c>
      <c r="E831" s="429">
        <v>3500</v>
      </c>
      <c r="F831" s="454">
        <f t="shared" si="13"/>
        <v>6.5370463756747172</v>
      </c>
      <c r="G831" s="239">
        <v>535.41</v>
      </c>
      <c r="H831" s="429" t="s">
        <v>123</v>
      </c>
      <c r="I831" s="429" t="s">
        <v>576</v>
      </c>
      <c r="J831" s="170" t="s">
        <v>96</v>
      </c>
      <c r="K831" s="170" t="s">
        <v>345</v>
      </c>
      <c r="L831" s="170" t="s">
        <v>113</v>
      </c>
      <c r="M831" s="75"/>
      <c r="N831" s="75"/>
      <c r="O831" s="75"/>
    </row>
    <row r="832" spans="1:15" ht="15.6">
      <c r="A832" s="428">
        <v>46109</v>
      </c>
      <c r="B832" s="429" t="s">
        <v>1028</v>
      </c>
      <c r="C832" s="242" t="s">
        <v>402</v>
      </c>
      <c r="D832" s="429" t="s">
        <v>259</v>
      </c>
      <c r="E832" s="429">
        <v>3500</v>
      </c>
      <c r="F832" s="454">
        <f t="shared" si="13"/>
        <v>6.5370463756747172</v>
      </c>
      <c r="G832" s="239">
        <v>535.41</v>
      </c>
      <c r="H832" s="429" t="s">
        <v>123</v>
      </c>
      <c r="I832" s="429" t="s">
        <v>577</v>
      </c>
      <c r="J832" s="170" t="s">
        <v>96</v>
      </c>
      <c r="K832" s="170" t="s">
        <v>345</v>
      </c>
      <c r="L832" s="170" t="s">
        <v>113</v>
      </c>
      <c r="M832" s="75"/>
      <c r="N832" s="75"/>
      <c r="O832" s="75"/>
    </row>
    <row r="833" spans="1:15" ht="15.6">
      <c r="A833" s="428">
        <v>46109</v>
      </c>
      <c r="B833" s="429" t="s">
        <v>540</v>
      </c>
      <c r="C833" s="429" t="s">
        <v>541</v>
      </c>
      <c r="D833" s="429" t="s">
        <v>259</v>
      </c>
      <c r="E833" s="429">
        <v>2000</v>
      </c>
      <c r="F833" s="454">
        <f t="shared" si="13"/>
        <v>3.735455071814124</v>
      </c>
      <c r="G833" s="239">
        <v>535.41</v>
      </c>
      <c r="H833" s="429" t="s">
        <v>123</v>
      </c>
      <c r="I833" s="429" t="s">
        <v>551</v>
      </c>
      <c r="J833" s="170" t="s">
        <v>96</v>
      </c>
      <c r="K833" s="170" t="s">
        <v>345</v>
      </c>
      <c r="L833" s="170" t="s">
        <v>113</v>
      </c>
      <c r="M833" s="75"/>
      <c r="N833" s="75"/>
      <c r="O833" s="75"/>
    </row>
    <row r="834" spans="1:15" ht="15.6">
      <c r="A834" s="428">
        <v>46109</v>
      </c>
      <c r="B834" s="429" t="s">
        <v>1053</v>
      </c>
      <c r="C834" s="170" t="s">
        <v>337</v>
      </c>
      <c r="D834" s="429" t="s">
        <v>259</v>
      </c>
      <c r="E834" s="429">
        <v>500</v>
      </c>
      <c r="F834" s="454">
        <f t="shared" si="13"/>
        <v>0.93386376795353099</v>
      </c>
      <c r="G834" s="239">
        <v>535.41</v>
      </c>
      <c r="H834" s="429" t="s">
        <v>123</v>
      </c>
      <c r="I834" s="429" t="s">
        <v>550</v>
      </c>
      <c r="J834" s="170" t="s">
        <v>96</v>
      </c>
      <c r="K834" s="170" t="s">
        <v>345</v>
      </c>
      <c r="L834" s="170" t="s">
        <v>113</v>
      </c>
      <c r="M834" s="75"/>
      <c r="N834" s="75"/>
      <c r="O834" s="75"/>
    </row>
    <row r="835" spans="1:15" ht="15.6">
      <c r="A835" s="428">
        <v>46109</v>
      </c>
      <c r="B835" s="429" t="s">
        <v>1053</v>
      </c>
      <c r="C835" s="170" t="s">
        <v>337</v>
      </c>
      <c r="D835" s="429" t="s">
        <v>259</v>
      </c>
      <c r="E835" s="429">
        <v>500</v>
      </c>
      <c r="F835" s="454">
        <f t="shared" si="13"/>
        <v>0.93386376795353099</v>
      </c>
      <c r="G835" s="239">
        <v>535.41</v>
      </c>
      <c r="H835" s="429" t="s">
        <v>123</v>
      </c>
      <c r="I835" s="429" t="s">
        <v>550</v>
      </c>
      <c r="J835" s="170" t="s">
        <v>96</v>
      </c>
      <c r="K835" s="170" t="s">
        <v>345</v>
      </c>
      <c r="L835" s="170" t="s">
        <v>113</v>
      </c>
      <c r="M835" s="75"/>
      <c r="N835" s="75"/>
      <c r="O835" s="75"/>
    </row>
    <row r="836" spans="1:15" ht="15.6">
      <c r="A836" s="428">
        <v>46109</v>
      </c>
      <c r="B836" s="429" t="s">
        <v>1052</v>
      </c>
      <c r="C836" s="170" t="s">
        <v>337</v>
      </c>
      <c r="D836" s="429" t="s">
        <v>259</v>
      </c>
      <c r="E836" s="429">
        <v>500</v>
      </c>
      <c r="F836" s="454">
        <f t="shared" si="13"/>
        <v>0.93386376795353099</v>
      </c>
      <c r="G836" s="239">
        <v>535.41</v>
      </c>
      <c r="H836" s="429" t="s">
        <v>123</v>
      </c>
      <c r="I836" s="429" t="s">
        <v>550</v>
      </c>
      <c r="J836" s="170" t="s">
        <v>96</v>
      </c>
      <c r="K836" s="170" t="s">
        <v>345</v>
      </c>
      <c r="L836" s="170" t="s">
        <v>113</v>
      </c>
      <c r="M836" s="75"/>
      <c r="N836" s="75"/>
      <c r="O836" s="75"/>
    </row>
    <row r="837" spans="1:15" ht="15.6">
      <c r="A837" s="457">
        <v>46109</v>
      </c>
      <c r="B837" s="242" t="s">
        <v>1031</v>
      </c>
      <c r="C837" s="242" t="s">
        <v>402</v>
      </c>
      <c r="D837" s="242" t="s">
        <v>259</v>
      </c>
      <c r="E837" s="242">
        <v>4000</v>
      </c>
      <c r="F837" s="454">
        <f t="shared" si="13"/>
        <v>7.4709101436282479</v>
      </c>
      <c r="G837" s="239">
        <v>535.41</v>
      </c>
      <c r="H837" s="242" t="s">
        <v>122</v>
      </c>
      <c r="I837" s="242" t="s">
        <v>636</v>
      </c>
      <c r="J837" s="170" t="s">
        <v>96</v>
      </c>
      <c r="K837" s="170" t="s">
        <v>345</v>
      </c>
      <c r="L837" s="170" t="s">
        <v>113</v>
      </c>
      <c r="M837" s="75"/>
      <c r="N837" s="75"/>
      <c r="O837" s="75"/>
    </row>
    <row r="838" spans="1:15" ht="15.6">
      <c r="A838" s="457">
        <v>46109</v>
      </c>
      <c r="B838" s="242" t="s">
        <v>1027</v>
      </c>
      <c r="C838" s="242" t="s">
        <v>402</v>
      </c>
      <c r="D838" s="242" t="s">
        <v>259</v>
      </c>
      <c r="E838" s="242">
        <v>4000</v>
      </c>
      <c r="F838" s="454">
        <f t="shared" si="13"/>
        <v>7.4709101436282479</v>
      </c>
      <c r="G838" s="239">
        <v>535.41</v>
      </c>
      <c r="H838" s="242" t="s">
        <v>122</v>
      </c>
      <c r="I838" s="242" t="s">
        <v>637</v>
      </c>
      <c r="J838" s="170" t="s">
        <v>96</v>
      </c>
      <c r="K838" s="170" t="s">
        <v>345</v>
      </c>
      <c r="L838" s="170" t="s">
        <v>113</v>
      </c>
      <c r="M838" s="75"/>
      <c r="N838" s="75"/>
      <c r="O838" s="75"/>
    </row>
    <row r="839" spans="1:15" ht="15.6">
      <c r="A839" s="453">
        <v>46109</v>
      </c>
      <c r="B839" s="170" t="s">
        <v>1055</v>
      </c>
      <c r="C839" s="170" t="s">
        <v>542</v>
      </c>
      <c r="D839" s="170" t="s">
        <v>259</v>
      </c>
      <c r="E839" s="170">
        <v>50000</v>
      </c>
      <c r="F839" s="454">
        <f t="shared" si="13"/>
        <v>93.386376795353101</v>
      </c>
      <c r="G839" s="239">
        <v>535.41</v>
      </c>
      <c r="H839" s="170" t="s">
        <v>131</v>
      </c>
      <c r="I839" s="170" t="s">
        <v>686</v>
      </c>
      <c r="J839" s="170" t="s">
        <v>96</v>
      </c>
      <c r="K839" s="170" t="s">
        <v>345</v>
      </c>
      <c r="L839" s="170" t="s">
        <v>113</v>
      </c>
      <c r="M839" s="75"/>
      <c r="N839" s="75"/>
      <c r="O839" s="75"/>
    </row>
    <row r="840" spans="1:15" ht="15.6">
      <c r="A840" s="457">
        <v>46109</v>
      </c>
      <c r="B840" s="242" t="s">
        <v>1031</v>
      </c>
      <c r="C840" s="170" t="s">
        <v>337</v>
      </c>
      <c r="D840" s="242" t="s">
        <v>259</v>
      </c>
      <c r="E840" s="242">
        <v>500</v>
      </c>
      <c r="F840" s="454">
        <f t="shared" si="13"/>
        <v>0.93386376795353099</v>
      </c>
      <c r="G840" s="239">
        <v>535.41</v>
      </c>
      <c r="H840" s="242" t="s">
        <v>131</v>
      </c>
      <c r="I840" s="242" t="s">
        <v>653</v>
      </c>
      <c r="J840" s="170" t="s">
        <v>96</v>
      </c>
      <c r="K840" s="170" t="s">
        <v>345</v>
      </c>
      <c r="L840" s="170" t="s">
        <v>113</v>
      </c>
      <c r="M840" s="75"/>
      <c r="N840" s="75"/>
      <c r="O840" s="75"/>
    </row>
    <row r="841" spans="1:15" ht="15.6">
      <c r="A841" s="453">
        <v>46109</v>
      </c>
      <c r="B841" s="170" t="s">
        <v>1028</v>
      </c>
      <c r="C841" s="242" t="s">
        <v>402</v>
      </c>
      <c r="D841" s="170" t="s">
        <v>259</v>
      </c>
      <c r="E841" s="170">
        <v>9000</v>
      </c>
      <c r="F841" s="454">
        <f t="shared" si="13"/>
        <v>16.809547823163559</v>
      </c>
      <c r="G841" s="239">
        <v>535.41</v>
      </c>
      <c r="H841" s="170" t="s">
        <v>131</v>
      </c>
      <c r="I841" s="170" t="s">
        <v>687</v>
      </c>
      <c r="J841" s="170" t="s">
        <v>96</v>
      </c>
      <c r="K841" s="170" t="s">
        <v>345</v>
      </c>
      <c r="L841" s="170" t="s">
        <v>113</v>
      </c>
      <c r="M841" s="75"/>
      <c r="N841" s="75"/>
      <c r="O841" s="75"/>
    </row>
    <row r="842" spans="1:15" ht="15.6">
      <c r="A842" s="457">
        <v>46109</v>
      </c>
      <c r="B842" s="242" t="s">
        <v>1027</v>
      </c>
      <c r="C842" s="170" t="s">
        <v>337</v>
      </c>
      <c r="D842" s="242" t="s">
        <v>259</v>
      </c>
      <c r="E842" s="242">
        <v>350</v>
      </c>
      <c r="F842" s="454">
        <f t="shared" si="13"/>
        <v>0.65370463756747166</v>
      </c>
      <c r="G842" s="239">
        <v>535.41</v>
      </c>
      <c r="H842" s="242" t="s">
        <v>131</v>
      </c>
      <c r="I842" s="242" t="s">
        <v>653</v>
      </c>
      <c r="J842" s="170" t="s">
        <v>96</v>
      </c>
      <c r="K842" s="170" t="s">
        <v>345</v>
      </c>
      <c r="L842" s="170" t="s">
        <v>113</v>
      </c>
      <c r="M842" s="75"/>
      <c r="N842" s="75"/>
      <c r="O842" s="75"/>
    </row>
    <row r="843" spans="1:15" ht="15.6">
      <c r="A843" s="457">
        <v>46109</v>
      </c>
      <c r="B843" s="242" t="s">
        <v>1027</v>
      </c>
      <c r="C843" s="170" t="s">
        <v>337</v>
      </c>
      <c r="D843" s="242" t="s">
        <v>259</v>
      </c>
      <c r="E843" s="242">
        <v>300</v>
      </c>
      <c r="F843" s="454">
        <f t="shared" si="13"/>
        <v>0.56031826077211855</v>
      </c>
      <c r="G843" s="239">
        <v>535.41</v>
      </c>
      <c r="H843" s="242" t="s">
        <v>131</v>
      </c>
      <c r="I843" s="242" t="s">
        <v>653</v>
      </c>
      <c r="J843" s="170" t="s">
        <v>96</v>
      </c>
      <c r="K843" s="170" t="s">
        <v>345</v>
      </c>
      <c r="L843" s="170" t="s">
        <v>113</v>
      </c>
      <c r="M843" s="75"/>
      <c r="N843" s="75"/>
      <c r="O843" s="75"/>
    </row>
    <row r="844" spans="1:15" ht="15.6">
      <c r="A844" s="453">
        <v>46109</v>
      </c>
      <c r="B844" s="170" t="s">
        <v>1028</v>
      </c>
      <c r="C844" s="242" t="s">
        <v>402</v>
      </c>
      <c r="D844" s="170" t="s">
        <v>259</v>
      </c>
      <c r="E844" s="170">
        <v>4000</v>
      </c>
      <c r="F844" s="454">
        <f t="shared" si="13"/>
        <v>7.4709101436282479</v>
      </c>
      <c r="G844" s="239">
        <v>535.41</v>
      </c>
      <c r="H844" s="170" t="s">
        <v>131</v>
      </c>
      <c r="I844" s="170" t="s">
        <v>688</v>
      </c>
      <c r="J844" s="170" t="s">
        <v>96</v>
      </c>
      <c r="K844" s="170" t="s">
        <v>345</v>
      </c>
      <c r="L844" s="170" t="s">
        <v>113</v>
      </c>
      <c r="M844" s="75"/>
      <c r="N844" s="75"/>
      <c r="O844" s="75"/>
    </row>
    <row r="845" spans="1:15" ht="15.6">
      <c r="A845" s="453">
        <v>46109</v>
      </c>
      <c r="B845" s="170" t="s">
        <v>1028</v>
      </c>
      <c r="C845" s="242" t="s">
        <v>402</v>
      </c>
      <c r="D845" s="170" t="s">
        <v>259</v>
      </c>
      <c r="E845" s="170">
        <v>7000</v>
      </c>
      <c r="F845" s="454">
        <f t="shared" si="13"/>
        <v>13.074092751349434</v>
      </c>
      <c r="G845" s="239">
        <v>535.41</v>
      </c>
      <c r="H845" s="170" t="s">
        <v>131</v>
      </c>
      <c r="I845" s="170" t="s">
        <v>689</v>
      </c>
      <c r="J845" s="170" t="s">
        <v>96</v>
      </c>
      <c r="K845" s="170" t="s">
        <v>345</v>
      </c>
      <c r="L845" s="170" t="s">
        <v>113</v>
      </c>
      <c r="M845" s="75"/>
      <c r="N845" s="75"/>
      <c r="O845" s="75"/>
    </row>
    <row r="846" spans="1:15" ht="15.6">
      <c r="A846" s="457">
        <v>46109</v>
      </c>
      <c r="B846" s="242" t="s">
        <v>1025</v>
      </c>
      <c r="C846" s="170" t="s">
        <v>337</v>
      </c>
      <c r="D846" s="242" t="s">
        <v>259</v>
      </c>
      <c r="E846" s="242">
        <v>2500</v>
      </c>
      <c r="F846" s="454">
        <f t="shared" si="13"/>
        <v>4.669318839767655</v>
      </c>
      <c r="G846" s="239">
        <v>535.41</v>
      </c>
      <c r="H846" s="242" t="s">
        <v>131</v>
      </c>
      <c r="I846" s="242" t="s">
        <v>653</v>
      </c>
      <c r="J846" s="170" t="s">
        <v>96</v>
      </c>
      <c r="K846" s="170" t="s">
        <v>345</v>
      </c>
      <c r="L846" s="170" t="s">
        <v>113</v>
      </c>
      <c r="M846" s="75"/>
      <c r="N846" s="75"/>
      <c r="O846" s="75"/>
    </row>
    <row r="847" spans="1:15" ht="15.6">
      <c r="A847" s="468">
        <v>46109</v>
      </c>
      <c r="B847" s="170" t="s">
        <v>715</v>
      </c>
      <c r="C847" s="170" t="s">
        <v>337</v>
      </c>
      <c r="D847" s="456" t="s">
        <v>97</v>
      </c>
      <c r="E847" s="367">
        <v>500</v>
      </c>
      <c r="F847" s="454">
        <f t="shared" si="13"/>
        <v>0.93386376795353099</v>
      </c>
      <c r="G847" s="239">
        <v>535.41</v>
      </c>
      <c r="H847" s="456" t="s">
        <v>134</v>
      </c>
      <c r="I847" s="170" t="s">
        <v>730</v>
      </c>
      <c r="J847" s="170" t="s">
        <v>96</v>
      </c>
      <c r="K847" s="170" t="s">
        <v>345</v>
      </c>
      <c r="L847" s="170" t="s">
        <v>113</v>
      </c>
      <c r="M847" s="75"/>
      <c r="N847" s="75"/>
      <c r="O847" s="75"/>
    </row>
    <row r="848" spans="1:15" ht="15.6">
      <c r="A848" s="468">
        <v>46109</v>
      </c>
      <c r="B848" s="170" t="s">
        <v>716</v>
      </c>
      <c r="C848" s="170" t="s">
        <v>337</v>
      </c>
      <c r="D848" s="456" t="s">
        <v>97</v>
      </c>
      <c r="E848" s="367">
        <v>500</v>
      </c>
      <c r="F848" s="454">
        <f t="shared" si="13"/>
        <v>0.93386376795353099</v>
      </c>
      <c r="G848" s="239">
        <v>535.41</v>
      </c>
      <c r="H848" s="456" t="s">
        <v>134</v>
      </c>
      <c r="I848" s="170" t="s">
        <v>730</v>
      </c>
      <c r="J848" s="170" t="s">
        <v>96</v>
      </c>
      <c r="K848" s="170" t="s">
        <v>345</v>
      </c>
      <c r="L848" s="170" t="s">
        <v>113</v>
      </c>
      <c r="M848" s="75"/>
      <c r="N848" s="75"/>
      <c r="O848" s="75"/>
    </row>
    <row r="849" spans="1:15" ht="15.6">
      <c r="A849" s="468">
        <v>46109</v>
      </c>
      <c r="B849" s="170" t="s">
        <v>717</v>
      </c>
      <c r="C849" s="170" t="s">
        <v>337</v>
      </c>
      <c r="D849" s="456" t="s">
        <v>97</v>
      </c>
      <c r="E849" s="367">
        <v>500</v>
      </c>
      <c r="F849" s="454">
        <f t="shared" si="13"/>
        <v>0.93386376795353099</v>
      </c>
      <c r="G849" s="239">
        <v>535.41</v>
      </c>
      <c r="H849" s="456" t="s">
        <v>134</v>
      </c>
      <c r="I849" s="170" t="s">
        <v>730</v>
      </c>
      <c r="J849" s="170" t="s">
        <v>96</v>
      </c>
      <c r="K849" s="170" t="s">
        <v>345</v>
      </c>
      <c r="L849" s="170" t="s">
        <v>113</v>
      </c>
      <c r="M849" s="75"/>
      <c r="N849" s="75"/>
      <c r="O849" s="75"/>
    </row>
    <row r="850" spans="1:15" ht="15.6">
      <c r="A850" s="468">
        <v>46109</v>
      </c>
      <c r="B850" s="170" t="s">
        <v>718</v>
      </c>
      <c r="C850" s="242" t="s">
        <v>402</v>
      </c>
      <c r="D850" s="456" t="s">
        <v>97</v>
      </c>
      <c r="E850" s="367">
        <v>9000</v>
      </c>
      <c r="F850" s="454">
        <f t="shared" si="13"/>
        <v>16.809547823163559</v>
      </c>
      <c r="G850" s="239">
        <v>535.41</v>
      </c>
      <c r="H850" s="456" t="s">
        <v>134</v>
      </c>
      <c r="I850" s="170" t="s">
        <v>739</v>
      </c>
      <c r="J850" s="170" t="s">
        <v>96</v>
      </c>
      <c r="K850" s="170" t="s">
        <v>345</v>
      </c>
      <c r="L850" s="170" t="s">
        <v>113</v>
      </c>
      <c r="M850" s="75"/>
      <c r="N850" s="75"/>
      <c r="O850" s="75"/>
    </row>
    <row r="851" spans="1:15" ht="15.6">
      <c r="A851" s="468">
        <v>46109</v>
      </c>
      <c r="B851" s="170" t="s">
        <v>708</v>
      </c>
      <c r="C851" s="170" t="s">
        <v>337</v>
      </c>
      <c r="D851" s="456" t="s">
        <v>97</v>
      </c>
      <c r="E851" s="367">
        <v>500</v>
      </c>
      <c r="F851" s="454">
        <f t="shared" si="13"/>
        <v>0.93386376795353099</v>
      </c>
      <c r="G851" s="239">
        <v>535.41</v>
      </c>
      <c r="H851" s="456" t="s">
        <v>134</v>
      </c>
      <c r="I851" s="170" t="s">
        <v>730</v>
      </c>
      <c r="J851" s="170" t="s">
        <v>96</v>
      </c>
      <c r="K851" s="170" t="s">
        <v>345</v>
      </c>
      <c r="L851" s="170" t="s">
        <v>113</v>
      </c>
      <c r="M851" s="75"/>
      <c r="N851" s="75"/>
      <c r="O851" s="75"/>
    </row>
    <row r="852" spans="1:15" ht="15.6">
      <c r="A852" s="457">
        <v>46109</v>
      </c>
      <c r="B852" s="242" t="s">
        <v>829</v>
      </c>
      <c r="C852" s="242" t="s">
        <v>542</v>
      </c>
      <c r="D852" s="242" t="s">
        <v>97</v>
      </c>
      <c r="E852" s="242">
        <v>20000</v>
      </c>
      <c r="F852" s="454">
        <f t="shared" si="13"/>
        <v>37.35455071814124</v>
      </c>
      <c r="G852" s="239">
        <v>535.41</v>
      </c>
      <c r="H852" s="242" t="s">
        <v>124</v>
      </c>
      <c r="I852" s="242" t="s">
        <v>853</v>
      </c>
      <c r="J852" s="170" t="s">
        <v>96</v>
      </c>
      <c r="K852" s="170" t="s">
        <v>345</v>
      </c>
      <c r="L852" s="170" t="s">
        <v>113</v>
      </c>
      <c r="M852" s="75"/>
      <c r="N852" s="75"/>
      <c r="O852" s="75"/>
    </row>
    <row r="853" spans="1:15" ht="15.6">
      <c r="A853" s="457">
        <v>46109</v>
      </c>
      <c r="B853" s="242" t="s">
        <v>830</v>
      </c>
      <c r="C853" s="170" t="s">
        <v>337</v>
      </c>
      <c r="D853" s="242" t="s">
        <v>97</v>
      </c>
      <c r="E853" s="242">
        <v>500</v>
      </c>
      <c r="F853" s="454">
        <f t="shared" si="13"/>
        <v>0.93386376795353099</v>
      </c>
      <c r="G853" s="239">
        <v>535.41</v>
      </c>
      <c r="H853" s="242" t="s">
        <v>124</v>
      </c>
      <c r="I853" s="242" t="s">
        <v>836</v>
      </c>
      <c r="J853" s="170" t="s">
        <v>96</v>
      </c>
      <c r="K853" s="170" t="s">
        <v>345</v>
      </c>
      <c r="L853" s="170" t="s">
        <v>113</v>
      </c>
      <c r="M853" s="75"/>
      <c r="N853" s="75"/>
      <c r="O853" s="75"/>
    </row>
    <row r="854" spans="1:15" ht="15.6">
      <c r="A854" s="457">
        <v>46109</v>
      </c>
      <c r="B854" s="242" t="s">
        <v>831</v>
      </c>
      <c r="C854" s="170" t="s">
        <v>337</v>
      </c>
      <c r="D854" s="242" t="s">
        <v>97</v>
      </c>
      <c r="E854" s="242">
        <v>1500</v>
      </c>
      <c r="F854" s="454">
        <f t="shared" si="13"/>
        <v>2.8015913038605929</v>
      </c>
      <c r="G854" s="239">
        <v>535.41</v>
      </c>
      <c r="H854" s="242" t="s">
        <v>124</v>
      </c>
      <c r="I854" s="242" t="s">
        <v>836</v>
      </c>
      <c r="J854" s="170" t="s">
        <v>96</v>
      </c>
      <c r="K854" s="170" t="s">
        <v>345</v>
      </c>
      <c r="L854" s="170" t="s">
        <v>113</v>
      </c>
      <c r="M854" s="75"/>
      <c r="N854" s="75"/>
      <c r="O854" s="75"/>
    </row>
    <row r="855" spans="1:15" ht="15.6">
      <c r="A855" s="461">
        <v>46110</v>
      </c>
      <c r="B855" s="464" t="s">
        <v>400</v>
      </c>
      <c r="C855" s="170" t="s">
        <v>337</v>
      </c>
      <c r="D855" s="463" t="s">
        <v>97</v>
      </c>
      <c r="E855" s="464">
        <v>1000</v>
      </c>
      <c r="F855" s="454">
        <f t="shared" si="13"/>
        <v>1.867727535907062</v>
      </c>
      <c r="G855" s="239">
        <v>535.41</v>
      </c>
      <c r="H855" s="165" t="s">
        <v>128</v>
      </c>
      <c r="I855" s="464" t="s">
        <v>431</v>
      </c>
      <c r="J855" s="170" t="s">
        <v>96</v>
      </c>
      <c r="K855" s="170" t="s">
        <v>345</v>
      </c>
      <c r="L855" s="170" t="s">
        <v>113</v>
      </c>
      <c r="M855" s="75"/>
      <c r="N855" s="75"/>
      <c r="O855" s="75"/>
    </row>
    <row r="856" spans="1:15" ht="15.6">
      <c r="A856" s="461">
        <v>46110</v>
      </c>
      <c r="B856" s="464" t="s">
        <v>404</v>
      </c>
      <c r="C856" s="170" t="s">
        <v>337</v>
      </c>
      <c r="D856" s="463" t="s">
        <v>97</v>
      </c>
      <c r="E856" s="464">
        <v>300</v>
      </c>
      <c r="F856" s="454">
        <f t="shared" si="13"/>
        <v>0.56031826077211855</v>
      </c>
      <c r="G856" s="239">
        <v>535.41</v>
      </c>
      <c r="H856" s="165" t="s">
        <v>128</v>
      </c>
      <c r="I856" s="464" t="s">
        <v>431</v>
      </c>
      <c r="J856" s="170" t="s">
        <v>96</v>
      </c>
      <c r="K856" s="170" t="s">
        <v>345</v>
      </c>
      <c r="L856" s="170" t="s">
        <v>113</v>
      </c>
      <c r="M856" s="75"/>
      <c r="N856" s="75"/>
      <c r="O856" s="75"/>
    </row>
    <row r="857" spans="1:15" ht="15.6">
      <c r="A857" s="461">
        <v>46110</v>
      </c>
      <c r="B857" s="464" t="s">
        <v>405</v>
      </c>
      <c r="C857" s="464" t="s">
        <v>406</v>
      </c>
      <c r="D857" s="463" t="s">
        <v>97</v>
      </c>
      <c r="E857" s="464">
        <v>20000</v>
      </c>
      <c r="F857" s="454">
        <f t="shared" si="13"/>
        <v>37.35455071814124</v>
      </c>
      <c r="G857" s="239">
        <v>535.41</v>
      </c>
      <c r="H857" s="165" t="s">
        <v>128</v>
      </c>
      <c r="I857" s="464" t="s">
        <v>433</v>
      </c>
      <c r="J857" s="170" t="s">
        <v>96</v>
      </c>
      <c r="K857" s="170" t="s">
        <v>345</v>
      </c>
      <c r="L857" s="170" t="s">
        <v>113</v>
      </c>
      <c r="M857" s="75"/>
      <c r="N857" s="75"/>
      <c r="O857" s="75"/>
    </row>
    <row r="858" spans="1:15" ht="15.6">
      <c r="A858" s="428">
        <v>46110</v>
      </c>
      <c r="B858" s="429" t="s">
        <v>1028</v>
      </c>
      <c r="C858" s="242" t="s">
        <v>402</v>
      </c>
      <c r="D858" s="429" t="s">
        <v>259</v>
      </c>
      <c r="E858" s="429">
        <v>3000</v>
      </c>
      <c r="F858" s="454">
        <f t="shared" si="13"/>
        <v>5.6031826077211857</v>
      </c>
      <c r="G858" s="239">
        <v>535.41</v>
      </c>
      <c r="H858" s="429" t="s">
        <v>123</v>
      </c>
      <c r="I858" s="429" t="s">
        <v>578</v>
      </c>
      <c r="J858" s="170" t="s">
        <v>96</v>
      </c>
      <c r="K858" s="170" t="s">
        <v>345</v>
      </c>
      <c r="L858" s="170" t="s">
        <v>113</v>
      </c>
      <c r="M858" s="75"/>
      <c r="N858" s="75"/>
      <c r="O858" s="75"/>
    </row>
    <row r="859" spans="1:15" ht="15.6">
      <c r="A859" s="428">
        <v>46110</v>
      </c>
      <c r="B859" s="429" t="s">
        <v>1028</v>
      </c>
      <c r="C859" s="242" t="s">
        <v>402</v>
      </c>
      <c r="D859" s="429" t="s">
        <v>259</v>
      </c>
      <c r="E859" s="429">
        <v>3000</v>
      </c>
      <c r="F859" s="454">
        <f t="shared" si="13"/>
        <v>5.6031826077211857</v>
      </c>
      <c r="G859" s="239">
        <v>535.41</v>
      </c>
      <c r="H859" s="429" t="s">
        <v>123</v>
      </c>
      <c r="I859" s="429" t="s">
        <v>579</v>
      </c>
      <c r="J859" s="170" t="s">
        <v>96</v>
      </c>
      <c r="K859" s="170" t="s">
        <v>345</v>
      </c>
      <c r="L859" s="170" t="s">
        <v>113</v>
      </c>
      <c r="M859" s="75"/>
      <c r="N859" s="75"/>
      <c r="O859" s="75"/>
    </row>
    <row r="860" spans="1:15" ht="15.6">
      <c r="A860" s="428">
        <v>46110</v>
      </c>
      <c r="B860" s="429" t="s">
        <v>540</v>
      </c>
      <c r="C860" s="429" t="s">
        <v>541</v>
      </c>
      <c r="D860" s="429" t="s">
        <v>259</v>
      </c>
      <c r="E860" s="429">
        <v>2000</v>
      </c>
      <c r="F860" s="454">
        <f t="shared" si="13"/>
        <v>3.735455071814124</v>
      </c>
      <c r="G860" s="239">
        <v>535.41</v>
      </c>
      <c r="H860" s="429" t="s">
        <v>123</v>
      </c>
      <c r="I860" s="429" t="s">
        <v>551</v>
      </c>
      <c r="J860" s="170" t="s">
        <v>96</v>
      </c>
      <c r="K860" s="170" t="s">
        <v>345</v>
      </c>
      <c r="L860" s="170" t="s">
        <v>113</v>
      </c>
      <c r="M860" s="75"/>
      <c r="N860" s="75"/>
      <c r="O860" s="75"/>
    </row>
    <row r="861" spans="1:15" ht="15.6">
      <c r="A861" s="428">
        <v>46110</v>
      </c>
      <c r="B861" s="429" t="s">
        <v>1053</v>
      </c>
      <c r="C861" s="170" t="s">
        <v>337</v>
      </c>
      <c r="D861" s="429" t="s">
        <v>259</v>
      </c>
      <c r="E861" s="429">
        <v>500</v>
      </c>
      <c r="F861" s="454">
        <f t="shared" si="13"/>
        <v>0.93386376795353099</v>
      </c>
      <c r="G861" s="239">
        <v>535.41</v>
      </c>
      <c r="H861" s="429" t="s">
        <v>123</v>
      </c>
      <c r="I861" s="429" t="s">
        <v>550</v>
      </c>
      <c r="J861" s="170" t="s">
        <v>96</v>
      </c>
      <c r="K861" s="170" t="s">
        <v>345</v>
      </c>
      <c r="L861" s="170" t="s">
        <v>113</v>
      </c>
      <c r="M861" s="75"/>
      <c r="N861" s="75"/>
      <c r="O861" s="75"/>
    </row>
    <row r="862" spans="1:15" ht="15.6">
      <c r="A862" s="428">
        <v>46110</v>
      </c>
      <c r="B862" s="429" t="s">
        <v>1053</v>
      </c>
      <c r="C862" s="170" t="s">
        <v>337</v>
      </c>
      <c r="D862" s="429" t="s">
        <v>259</v>
      </c>
      <c r="E862" s="429">
        <v>500</v>
      </c>
      <c r="F862" s="454">
        <f t="shared" si="13"/>
        <v>0.93386376795353099</v>
      </c>
      <c r="G862" s="239">
        <v>535.41</v>
      </c>
      <c r="H862" s="429" t="s">
        <v>123</v>
      </c>
      <c r="I862" s="429" t="s">
        <v>550</v>
      </c>
      <c r="J862" s="170" t="s">
        <v>96</v>
      </c>
      <c r="K862" s="170" t="s">
        <v>345</v>
      </c>
      <c r="L862" s="170" t="s">
        <v>113</v>
      </c>
      <c r="M862" s="75"/>
      <c r="N862" s="75"/>
      <c r="O862" s="75"/>
    </row>
    <row r="863" spans="1:15" ht="15.6">
      <c r="A863" s="428">
        <v>46110</v>
      </c>
      <c r="B863" s="429" t="s">
        <v>1072</v>
      </c>
      <c r="C863" s="170" t="s">
        <v>337</v>
      </c>
      <c r="D863" s="429" t="s">
        <v>259</v>
      </c>
      <c r="E863" s="429">
        <v>500</v>
      </c>
      <c r="F863" s="454">
        <f t="shared" ref="F863:F926" si="14">E863/G863</f>
        <v>0.93386376795353099</v>
      </c>
      <c r="G863" s="239">
        <v>535.41</v>
      </c>
      <c r="H863" s="429" t="s">
        <v>123</v>
      </c>
      <c r="I863" s="429" t="s">
        <v>550</v>
      </c>
      <c r="J863" s="170" t="s">
        <v>96</v>
      </c>
      <c r="K863" s="170" t="s">
        <v>345</v>
      </c>
      <c r="L863" s="170" t="s">
        <v>113</v>
      </c>
      <c r="M863" s="75"/>
      <c r="N863" s="75"/>
      <c r="O863" s="75"/>
    </row>
    <row r="864" spans="1:15" ht="15.6">
      <c r="A864" s="457">
        <v>46110</v>
      </c>
      <c r="B864" s="242" t="s">
        <v>1027</v>
      </c>
      <c r="C864" s="242" t="s">
        <v>402</v>
      </c>
      <c r="D864" s="242" t="s">
        <v>259</v>
      </c>
      <c r="E864" s="242">
        <v>4000</v>
      </c>
      <c r="F864" s="454">
        <f t="shared" si="14"/>
        <v>7.4709101436282479</v>
      </c>
      <c r="G864" s="239">
        <v>535.41</v>
      </c>
      <c r="H864" s="242" t="s">
        <v>122</v>
      </c>
      <c r="I864" s="242" t="s">
        <v>638</v>
      </c>
      <c r="J864" s="170" t="s">
        <v>96</v>
      </c>
      <c r="K864" s="170" t="s">
        <v>345</v>
      </c>
      <c r="L864" s="170" t="s">
        <v>113</v>
      </c>
      <c r="M864" s="75"/>
      <c r="N864" s="75"/>
      <c r="O864" s="75"/>
    </row>
    <row r="865" spans="1:15" ht="15.6">
      <c r="A865" s="457">
        <v>46110</v>
      </c>
      <c r="B865" s="242" t="s">
        <v>1073</v>
      </c>
      <c r="C865" s="242" t="s">
        <v>587</v>
      </c>
      <c r="D865" s="242" t="s">
        <v>259</v>
      </c>
      <c r="E865" s="242">
        <v>3500</v>
      </c>
      <c r="F865" s="454">
        <f t="shared" si="14"/>
        <v>6.5370463756747172</v>
      </c>
      <c r="G865" s="239">
        <v>535.41</v>
      </c>
      <c r="H865" s="242" t="s">
        <v>122</v>
      </c>
      <c r="I865" s="242" t="s">
        <v>596</v>
      </c>
      <c r="J865" s="170" t="s">
        <v>96</v>
      </c>
      <c r="K865" s="170" t="s">
        <v>345</v>
      </c>
      <c r="L865" s="170" t="s">
        <v>113</v>
      </c>
      <c r="M865" s="75"/>
      <c r="N865" s="75"/>
      <c r="O865" s="75"/>
    </row>
    <row r="866" spans="1:15" ht="15.6">
      <c r="A866" s="457">
        <v>46110</v>
      </c>
      <c r="B866" s="242" t="s">
        <v>1027</v>
      </c>
      <c r="C866" s="242" t="s">
        <v>402</v>
      </c>
      <c r="D866" s="242" t="s">
        <v>259</v>
      </c>
      <c r="E866" s="242">
        <v>4000</v>
      </c>
      <c r="F866" s="454">
        <f t="shared" si="14"/>
        <v>7.4709101436282479</v>
      </c>
      <c r="G866" s="239">
        <v>535.41</v>
      </c>
      <c r="H866" s="242" t="s">
        <v>122</v>
      </c>
      <c r="I866" s="242" t="s">
        <v>639</v>
      </c>
      <c r="J866" s="170" t="s">
        <v>96</v>
      </c>
      <c r="K866" s="170" t="s">
        <v>345</v>
      </c>
      <c r="L866" s="170" t="s">
        <v>113</v>
      </c>
      <c r="M866" s="75"/>
      <c r="N866" s="75"/>
      <c r="O866" s="75"/>
    </row>
    <row r="867" spans="1:15" ht="15.6">
      <c r="A867" s="468">
        <v>46110</v>
      </c>
      <c r="B867" s="170" t="s">
        <v>719</v>
      </c>
      <c r="C867" s="170" t="s">
        <v>542</v>
      </c>
      <c r="D867" s="170" t="s">
        <v>97</v>
      </c>
      <c r="E867" s="367">
        <v>30000</v>
      </c>
      <c r="F867" s="454">
        <f t="shared" si="14"/>
        <v>56.031826077211861</v>
      </c>
      <c r="G867" s="239">
        <v>535.41</v>
      </c>
      <c r="H867" s="456" t="s">
        <v>134</v>
      </c>
      <c r="I867" s="170" t="s">
        <v>740</v>
      </c>
      <c r="J867" s="170" t="s">
        <v>96</v>
      </c>
      <c r="K867" s="170" t="s">
        <v>345</v>
      </c>
      <c r="L867" s="170" t="s">
        <v>113</v>
      </c>
      <c r="M867" s="75"/>
      <c r="N867" s="75"/>
      <c r="O867" s="75"/>
    </row>
    <row r="868" spans="1:15" ht="15.6">
      <c r="A868" s="468">
        <v>46110</v>
      </c>
      <c r="B868" s="170" t="s">
        <v>720</v>
      </c>
      <c r="C868" s="170" t="s">
        <v>337</v>
      </c>
      <c r="D868" s="456" t="s">
        <v>97</v>
      </c>
      <c r="E868" s="367">
        <v>500</v>
      </c>
      <c r="F868" s="454">
        <f t="shared" si="14"/>
        <v>0.93386376795353099</v>
      </c>
      <c r="G868" s="239">
        <v>535.41</v>
      </c>
      <c r="H868" s="456" t="s">
        <v>134</v>
      </c>
      <c r="I868" s="170" t="s">
        <v>730</v>
      </c>
      <c r="J868" s="170" t="s">
        <v>96</v>
      </c>
      <c r="K868" s="170" t="s">
        <v>345</v>
      </c>
      <c r="L868" s="170" t="s">
        <v>113</v>
      </c>
      <c r="M868" s="75"/>
      <c r="N868" s="75"/>
      <c r="O868" s="75"/>
    </row>
    <row r="869" spans="1:15" ht="15.6">
      <c r="A869" s="468">
        <v>46110</v>
      </c>
      <c r="B869" s="170" t="s">
        <v>721</v>
      </c>
      <c r="C869" s="170" t="s">
        <v>337</v>
      </c>
      <c r="D869" s="456" t="s">
        <v>97</v>
      </c>
      <c r="E869" s="367">
        <v>1500</v>
      </c>
      <c r="F869" s="454">
        <f t="shared" si="14"/>
        <v>2.8015913038605929</v>
      </c>
      <c r="G869" s="239">
        <v>535.41</v>
      </c>
      <c r="H869" s="456" t="s">
        <v>134</v>
      </c>
      <c r="I869" s="170" t="s">
        <v>730</v>
      </c>
      <c r="J869" s="170" t="s">
        <v>96</v>
      </c>
      <c r="K869" s="170" t="s">
        <v>345</v>
      </c>
      <c r="L869" s="170" t="s">
        <v>113</v>
      </c>
      <c r="M869" s="75"/>
      <c r="N869" s="75"/>
      <c r="O869" s="75"/>
    </row>
    <row r="870" spans="1:15" ht="15.6">
      <c r="A870" s="457">
        <v>46111</v>
      </c>
      <c r="B870" s="242" t="s">
        <v>186</v>
      </c>
      <c r="C870" s="170" t="s">
        <v>337</v>
      </c>
      <c r="D870" s="458" t="s">
        <v>99</v>
      </c>
      <c r="E870" s="242">
        <v>1000</v>
      </c>
      <c r="F870" s="454">
        <f t="shared" si="14"/>
        <v>1.9254803020356539</v>
      </c>
      <c r="G870" s="239">
        <v>519.35093749999999</v>
      </c>
      <c r="H870" s="459" t="s">
        <v>111</v>
      </c>
      <c r="I870" s="170" t="s">
        <v>380</v>
      </c>
      <c r="J870" s="170" t="s">
        <v>96</v>
      </c>
      <c r="K870" s="170" t="s">
        <v>345</v>
      </c>
      <c r="L870" s="170" t="s">
        <v>113</v>
      </c>
      <c r="M870" s="364"/>
      <c r="N870" s="364"/>
      <c r="O870" s="75"/>
    </row>
    <row r="871" spans="1:15" ht="15.6">
      <c r="A871" s="457">
        <v>46111</v>
      </c>
      <c r="B871" s="242" t="s">
        <v>187</v>
      </c>
      <c r="C871" s="170" t="s">
        <v>337</v>
      </c>
      <c r="D871" s="458" t="s">
        <v>99</v>
      </c>
      <c r="E871" s="242">
        <v>1000</v>
      </c>
      <c r="F871" s="454">
        <f t="shared" si="14"/>
        <v>1.8771635173931283</v>
      </c>
      <c r="G871" s="239">
        <v>532.71864210781655</v>
      </c>
      <c r="H871" s="459" t="s">
        <v>111</v>
      </c>
      <c r="I871" s="170" t="s">
        <v>380</v>
      </c>
      <c r="J871" s="170" t="s">
        <v>96</v>
      </c>
      <c r="K871" s="170" t="s">
        <v>345</v>
      </c>
      <c r="L871" s="170" t="s">
        <v>113</v>
      </c>
      <c r="M871" s="364"/>
      <c r="N871" s="364"/>
      <c r="O871" s="75"/>
    </row>
    <row r="872" spans="1:15" ht="15.6">
      <c r="A872" s="461">
        <v>46111</v>
      </c>
      <c r="B872" s="464" t="s">
        <v>407</v>
      </c>
      <c r="C872" s="170" t="s">
        <v>337</v>
      </c>
      <c r="D872" s="463" t="s">
        <v>97</v>
      </c>
      <c r="E872" s="464">
        <v>500</v>
      </c>
      <c r="F872" s="454">
        <f t="shared" si="14"/>
        <v>0.93386376795353099</v>
      </c>
      <c r="G872" s="239">
        <v>535.41</v>
      </c>
      <c r="H872" s="165" t="s">
        <v>128</v>
      </c>
      <c r="I872" s="464" t="s">
        <v>431</v>
      </c>
      <c r="J872" s="170" t="s">
        <v>96</v>
      </c>
      <c r="K872" s="170" t="s">
        <v>345</v>
      </c>
      <c r="L872" s="170" t="s">
        <v>113</v>
      </c>
      <c r="M872" s="75"/>
      <c r="N872" s="75"/>
      <c r="O872" s="75"/>
    </row>
    <row r="873" spans="1:15" ht="15.6">
      <c r="A873" s="461">
        <v>46111</v>
      </c>
      <c r="B873" s="464" t="s">
        <v>408</v>
      </c>
      <c r="C873" s="170" t="s">
        <v>337</v>
      </c>
      <c r="D873" s="463" t="s">
        <v>97</v>
      </c>
      <c r="E873" s="464">
        <v>500</v>
      </c>
      <c r="F873" s="454">
        <f t="shared" si="14"/>
        <v>0.93386376795353099</v>
      </c>
      <c r="G873" s="239">
        <v>535.41</v>
      </c>
      <c r="H873" s="165" t="s">
        <v>128</v>
      </c>
      <c r="I873" s="464" t="s">
        <v>431</v>
      </c>
      <c r="J873" s="170" t="s">
        <v>96</v>
      </c>
      <c r="K873" s="170" t="s">
        <v>345</v>
      </c>
      <c r="L873" s="170" t="s">
        <v>113</v>
      </c>
      <c r="M873" s="75"/>
      <c r="N873" s="75"/>
      <c r="O873" s="75"/>
    </row>
    <row r="874" spans="1:15" ht="15.6">
      <c r="A874" s="461">
        <v>46111</v>
      </c>
      <c r="B874" s="464" t="s">
        <v>409</v>
      </c>
      <c r="C874" s="242" t="s">
        <v>402</v>
      </c>
      <c r="D874" s="463" t="s">
        <v>97</v>
      </c>
      <c r="E874" s="464">
        <v>5000</v>
      </c>
      <c r="F874" s="454">
        <f t="shared" si="14"/>
        <v>9.3386376795353101</v>
      </c>
      <c r="G874" s="239">
        <v>535.41</v>
      </c>
      <c r="H874" s="165" t="s">
        <v>128</v>
      </c>
      <c r="I874" s="464" t="s">
        <v>434</v>
      </c>
      <c r="J874" s="170" t="s">
        <v>96</v>
      </c>
      <c r="K874" s="170" t="s">
        <v>345</v>
      </c>
      <c r="L874" s="170" t="s">
        <v>113</v>
      </c>
      <c r="M874" s="75"/>
      <c r="N874" s="75"/>
      <c r="O874" s="75"/>
    </row>
    <row r="875" spans="1:15" ht="15.6">
      <c r="A875" s="461">
        <v>46111</v>
      </c>
      <c r="B875" s="464" t="s">
        <v>410</v>
      </c>
      <c r="C875" s="170" t="s">
        <v>337</v>
      </c>
      <c r="D875" s="463" t="s">
        <v>97</v>
      </c>
      <c r="E875" s="464">
        <v>300</v>
      </c>
      <c r="F875" s="454">
        <f t="shared" si="14"/>
        <v>0.56031826077211855</v>
      </c>
      <c r="G875" s="239">
        <v>535.41</v>
      </c>
      <c r="H875" s="165" t="s">
        <v>128</v>
      </c>
      <c r="I875" s="464" t="s">
        <v>431</v>
      </c>
      <c r="J875" s="170" t="s">
        <v>96</v>
      </c>
      <c r="K875" s="170" t="s">
        <v>345</v>
      </c>
      <c r="L875" s="170" t="s">
        <v>113</v>
      </c>
      <c r="M875" s="75"/>
      <c r="N875" s="75"/>
      <c r="O875" s="75"/>
    </row>
    <row r="876" spans="1:15" ht="15.6">
      <c r="A876" s="461">
        <v>46111</v>
      </c>
      <c r="B876" s="464" t="s">
        <v>411</v>
      </c>
      <c r="C876" s="170" t="s">
        <v>337</v>
      </c>
      <c r="D876" s="463" t="s">
        <v>97</v>
      </c>
      <c r="E876" s="464">
        <v>300</v>
      </c>
      <c r="F876" s="454">
        <f t="shared" si="14"/>
        <v>0.56031826077211855</v>
      </c>
      <c r="G876" s="239">
        <v>535.41</v>
      </c>
      <c r="H876" s="165" t="s">
        <v>128</v>
      </c>
      <c r="I876" s="464" t="s">
        <v>431</v>
      </c>
      <c r="J876" s="170" t="s">
        <v>96</v>
      </c>
      <c r="K876" s="170" t="s">
        <v>345</v>
      </c>
      <c r="L876" s="170" t="s">
        <v>113</v>
      </c>
      <c r="M876" s="75"/>
      <c r="N876" s="75"/>
      <c r="O876" s="75"/>
    </row>
    <row r="877" spans="1:15" ht="15.6">
      <c r="A877" s="461">
        <v>46111</v>
      </c>
      <c r="B877" s="464" t="s">
        <v>412</v>
      </c>
      <c r="C877" s="170" t="s">
        <v>337</v>
      </c>
      <c r="D877" s="463" t="s">
        <v>97</v>
      </c>
      <c r="E877" s="464">
        <v>500</v>
      </c>
      <c r="F877" s="454">
        <f t="shared" si="14"/>
        <v>0.93386376795353099</v>
      </c>
      <c r="G877" s="239">
        <v>535.41</v>
      </c>
      <c r="H877" s="165" t="s">
        <v>128</v>
      </c>
      <c r="I877" s="464" t="s">
        <v>431</v>
      </c>
      <c r="J877" s="170" t="s">
        <v>96</v>
      </c>
      <c r="K877" s="170" t="s">
        <v>345</v>
      </c>
      <c r="L877" s="170" t="s">
        <v>113</v>
      </c>
      <c r="M877" s="75"/>
      <c r="N877" s="75"/>
      <c r="O877" s="75"/>
    </row>
    <row r="878" spans="1:15" ht="15.6">
      <c r="A878" s="461">
        <v>46111</v>
      </c>
      <c r="B878" s="464" t="s">
        <v>413</v>
      </c>
      <c r="C878" s="464" t="s">
        <v>414</v>
      </c>
      <c r="D878" s="463" t="s">
        <v>97</v>
      </c>
      <c r="E878" s="464">
        <v>3000</v>
      </c>
      <c r="F878" s="454">
        <f t="shared" si="14"/>
        <v>5.6031826077211857</v>
      </c>
      <c r="G878" s="239">
        <v>535.41</v>
      </c>
      <c r="H878" s="165" t="s">
        <v>128</v>
      </c>
      <c r="I878" s="464" t="s">
        <v>435</v>
      </c>
      <c r="J878" s="170" t="s">
        <v>96</v>
      </c>
      <c r="K878" s="170" t="s">
        <v>345</v>
      </c>
      <c r="L878" s="170" t="s">
        <v>113</v>
      </c>
      <c r="M878" s="75"/>
      <c r="N878" s="75"/>
      <c r="O878" s="75"/>
    </row>
    <row r="879" spans="1:15" ht="15.6">
      <c r="A879" s="461">
        <v>46111</v>
      </c>
      <c r="B879" s="464" t="s">
        <v>415</v>
      </c>
      <c r="C879" s="170" t="s">
        <v>337</v>
      </c>
      <c r="D879" s="463" t="s">
        <v>97</v>
      </c>
      <c r="E879" s="464">
        <v>500</v>
      </c>
      <c r="F879" s="454">
        <f t="shared" si="14"/>
        <v>0.93386376795353099</v>
      </c>
      <c r="G879" s="239">
        <v>535.41</v>
      </c>
      <c r="H879" s="165" t="s">
        <v>128</v>
      </c>
      <c r="I879" s="464" t="s">
        <v>431</v>
      </c>
      <c r="J879" s="170" t="s">
        <v>96</v>
      </c>
      <c r="K879" s="170" t="s">
        <v>345</v>
      </c>
      <c r="L879" s="170" t="s">
        <v>113</v>
      </c>
      <c r="M879" s="75"/>
      <c r="N879" s="75"/>
      <c r="O879" s="75"/>
    </row>
    <row r="880" spans="1:15" ht="15.6">
      <c r="A880" s="461">
        <v>46111</v>
      </c>
      <c r="B880" s="464" t="s">
        <v>416</v>
      </c>
      <c r="C880" s="170" t="s">
        <v>337</v>
      </c>
      <c r="D880" s="463" t="s">
        <v>97</v>
      </c>
      <c r="E880" s="464">
        <v>500</v>
      </c>
      <c r="F880" s="454">
        <f t="shared" si="14"/>
        <v>0.93386376795353099</v>
      </c>
      <c r="G880" s="239">
        <v>535.41</v>
      </c>
      <c r="H880" s="165" t="s">
        <v>128</v>
      </c>
      <c r="I880" s="464" t="s">
        <v>431</v>
      </c>
      <c r="J880" s="170" t="s">
        <v>96</v>
      </c>
      <c r="K880" s="170" t="s">
        <v>345</v>
      </c>
      <c r="L880" s="170" t="s">
        <v>113</v>
      </c>
      <c r="M880" s="75"/>
      <c r="N880" s="75"/>
      <c r="O880" s="75"/>
    </row>
    <row r="881" spans="1:15" ht="15.6">
      <c r="A881" s="457">
        <v>46111</v>
      </c>
      <c r="B881" s="242" t="s">
        <v>502</v>
      </c>
      <c r="C881" s="242" t="s">
        <v>103</v>
      </c>
      <c r="D881" s="242" t="s">
        <v>98</v>
      </c>
      <c r="E881" s="460">
        <v>6000</v>
      </c>
      <c r="F881" s="454">
        <f t="shared" si="14"/>
        <v>11.206365215442371</v>
      </c>
      <c r="G881" s="239">
        <v>535.41</v>
      </c>
      <c r="H881" s="242" t="s">
        <v>168</v>
      </c>
      <c r="I881" s="170" t="s">
        <v>532</v>
      </c>
      <c r="J881" s="170" t="s">
        <v>96</v>
      </c>
      <c r="K881" s="170" t="s">
        <v>345</v>
      </c>
      <c r="L881" s="170" t="s">
        <v>113</v>
      </c>
      <c r="M881" s="75"/>
      <c r="N881" s="75"/>
      <c r="O881" s="75"/>
    </row>
    <row r="882" spans="1:15" ht="15.6">
      <c r="A882" s="457">
        <v>46111</v>
      </c>
      <c r="B882" s="242" t="s">
        <v>503</v>
      </c>
      <c r="C882" s="242" t="s">
        <v>130</v>
      </c>
      <c r="D882" s="242" t="s">
        <v>98</v>
      </c>
      <c r="E882" s="460">
        <v>80000</v>
      </c>
      <c r="F882" s="454">
        <f t="shared" si="14"/>
        <v>149.41820287256496</v>
      </c>
      <c r="G882" s="239">
        <v>535.41</v>
      </c>
      <c r="H882" s="242" t="s">
        <v>168</v>
      </c>
      <c r="I882" s="170" t="s">
        <v>533</v>
      </c>
      <c r="J882" s="170" t="s">
        <v>96</v>
      </c>
      <c r="K882" s="170" t="s">
        <v>345</v>
      </c>
      <c r="L882" s="170" t="s">
        <v>113</v>
      </c>
      <c r="M882" s="75"/>
      <c r="N882" s="75"/>
      <c r="O882" s="75"/>
    </row>
    <row r="883" spans="1:15" ht="15.6">
      <c r="A883" s="457">
        <v>46111</v>
      </c>
      <c r="B883" s="242" t="s">
        <v>504</v>
      </c>
      <c r="C883" s="242" t="s">
        <v>130</v>
      </c>
      <c r="D883" s="242" t="s">
        <v>98</v>
      </c>
      <c r="E883" s="460">
        <v>40000</v>
      </c>
      <c r="F883" s="454">
        <f t="shared" si="14"/>
        <v>74.709101436282481</v>
      </c>
      <c r="G883" s="239">
        <v>535.41</v>
      </c>
      <c r="H883" s="242" t="s">
        <v>168</v>
      </c>
      <c r="I883" s="170" t="s">
        <v>534</v>
      </c>
      <c r="J883" s="170" t="s">
        <v>96</v>
      </c>
      <c r="K883" s="170" t="s">
        <v>345</v>
      </c>
      <c r="L883" s="170" t="s">
        <v>113</v>
      </c>
      <c r="M883" s="75"/>
      <c r="N883" s="75"/>
      <c r="O883" s="75"/>
    </row>
    <row r="884" spans="1:15" ht="15.6">
      <c r="A884" s="457">
        <v>46111</v>
      </c>
      <c r="B884" s="242" t="s">
        <v>483</v>
      </c>
      <c r="C884" s="242" t="s">
        <v>463</v>
      </c>
      <c r="D884" s="242" t="s">
        <v>98</v>
      </c>
      <c r="E884" s="460">
        <v>5250</v>
      </c>
      <c r="F884" s="454">
        <f t="shared" si="14"/>
        <v>9.8055695635120763</v>
      </c>
      <c r="G884" s="239">
        <v>535.41</v>
      </c>
      <c r="H884" s="242" t="s">
        <v>168</v>
      </c>
      <c r="I884" s="170" t="s">
        <v>535</v>
      </c>
      <c r="J884" s="170" t="s">
        <v>96</v>
      </c>
      <c r="K884" s="170" t="s">
        <v>345</v>
      </c>
      <c r="L884" s="170" t="s">
        <v>113</v>
      </c>
      <c r="M884" s="75"/>
      <c r="N884" s="75"/>
      <c r="O884" s="75"/>
    </row>
    <row r="885" spans="1:15" ht="15.6">
      <c r="A885" s="467">
        <v>46111</v>
      </c>
      <c r="B885" s="242" t="s">
        <v>486</v>
      </c>
      <c r="C885" s="170" t="s">
        <v>337</v>
      </c>
      <c r="D885" s="242" t="s">
        <v>98</v>
      </c>
      <c r="E885" s="298">
        <v>1000</v>
      </c>
      <c r="F885" s="454">
        <f t="shared" si="14"/>
        <v>1.867727535907062</v>
      </c>
      <c r="G885" s="239">
        <v>535.41</v>
      </c>
      <c r="H885" s="242" t="s">
        <v>168</v>
      </c>
      <c r="I885" s="242" t="s">
        <v>510</v>
      </c>
      <c r="J885" s="170" t="s">
        <v>96</v>
      </c>
      <c r="K885" s="170" t="s">
        <v>345</v>
      </c>
      <c r="L885" s="170" t="s">
        <v>113</v>
      </c>
      <c r="M885" s="75"/>
      <c r="N885" s="75"/>
      <c r="O885" s="75"/>
    </row>
    <row r="886" spans="1:15" ht="15.6">
      <c r="A886" s="467">
        <v>46111</v>
      </c>
      <c r="B886" s="242" t="s">
        <v>470</v>
      </c>
      <c r="C886" s="170" t="s">
        <v>337</v>
      </c>
      <c r="D886" s="242" t="s">
        <v>98</v>
      </c>
      <c r="E886" s="298">
        <v>1000</v>
      </c>
      <c r="F886" s="454">
        <f t="shared" si="14"/>
        <v>1.867727535907062</v>
      </c>
      <c r="G886" s="239">
        <v>535.41</v>
      </c>
      <c r="H886" s="242" t="s">
        <v>168</v>
      </c>
      <c r="I886" s="242" t="s">
        <v>510</v>
      </c>
      <c r="J886" s="170" t="s">
        <v>96</v>
      </c>
      <c r="K886" s="170" t="s">
        <v>345</v>
      </c>
      <c r="L886" s="170" t="s">
        <v>113</v>
      </c>
      <c r="M886" s="75"/>
      <c r="N886" s="75"/>
      <c r="O886" s="75"/>
    </row>
    <row r="887" spans="1:15" ht="15.6">
      <c r="A887" s="467">
        <v>46111</v>
      </c>
      <c r="B887" s="242" t="s">
        <v>505</v>
      </c>
      <c r="C887" s="170" t="s">
        <v>337</v>
      </c>
      <c r="D887" s="242" t="s">
        <v>98</v>
      </c>
      <c r="E887" s="298">
        <v>1000</v>
      </c>
      <c r="F887" s="454">
        <f t="shared" si="14"/>
        <v>1.867727535907062</v>
      </c>
      <c r="G887" s="239">
        <v>535.41</v>
      </c>
      <c r="H887" s="242" t="s">
        <v>168</v>
      </c>
      <c r="I887" s="242" t="s">
        <v>510</v>
      </c>
      <c r="J887" s="170" t="s">
        <v>96</v>
      </c>
      <c r="K887" s="170" t="s">
        <v>345</v>
      </c>
      <c r="L887" s="170" t="s">
        <v>113</v>
      </c>
      <c r="M887" s="75"/>
      <c r="N887" s="75"/>
      <c r="O887" s="75"/>
    </row>
    <row r="888" spans="1:15" ht="15.6">
      <c r="A888" s="467">
        <v>46111</v>
      </c>
      <c r="B888" s="242" t="s">
        <v>506</v>
      </c>
      <c r="C888" s="170" t="s">
        <v>337</v>
      </c>
      <c r="D888" s="242" t="s">
        <v>98</v>
      </c>
      <c r="E888" s="298">
        <v>1000</v>
      </c>
      <c r="F888" s="454">
        <f t="shared" si="14"/>
        <v>1.867727535907062</v>
      </c>
      <c r="G888" s="239">
        <v>535.41</v>
      </c>
      <c r="H888" s="242" t="s">
        <v>168</v>
      </c>
      <c r="I888" s="242" t="s">
        <v>510</v>
      </c>
      <c r="J888" s="170" t="s">
        <v>96</v>
      </c>
      <c r="K888" s="170" t="s">
        <v>345</v>
      </c>
      <c r="L888" s="170" t="s">
        <v>113</v>
      </c>
      <c r="M888" s="75"/>
      <c r="N888" s="75"/>
      <c r="O888" s="75"/>
    </row>
    <row r="889" spans="1:15" ht="15.6">
      <c r="A889" s="457">
        <v>46111</v>
      </c>
      <c r="B889" s="170" t="s">
        <v>1048</v>
      </c>
      <c r="C889" s="242" t="s">
        <v>406</v>
      </c>
      <c r="D889" s="242" t="s">
        <v>259</v>
      </c>
      <c r="E889" s="242">
        <v>80000</v>
      </c>
      <c r="F889" s="454">
        <f t="shared" si="14"/>
        <v>149.41820287256496</v>
      </c>
      <c r="G889" s="239">
        <v>535.41</v>
      </c>
      <c r="H889" s="242" t="s">
        <v>122</v>
      </c>
      <c r="I889" s="242" t="s">
        <v>640</v>
      </c>
      <c r="J889" s="170" t="s">
        <v>96</v>
      </c>
      <c r="K889" s="170" t="s">
        <v>345</v>
      </c>
      <c r="L889" s="170" t="s">
        <v>113</v>
      </c>
      <c r="M889" s="75"/>
      <c r="N889" s="75"/>
      <c r="O889" s="75"/>
    </row>
    <row r="890" spans="1:15" ht="15.6">
      <c r="A890" s="457">
        <v>46111</v>
      </c>
      <c r="B890" s="242" t="s">
        <v>1070</v>
      </c>
      <c r="C890" s="242" t="s">
        <v>402</v>
      </c>
      <c r="D890" s="242" t="s">
        <v>259</v>
      </c>
      <c r="E890" s="242">
        <v>20000</v>
      </c>
      <c r="F890" s="454">
        <f t="shared" si="14"/>
        <v>37.35455071814124</v>
      </c>
      <c r="G890" s="239">
        <v>535.41</v>
      </c>
      <c r="H890" s="242" t="s">
        <v>122</v>
      </c>
      <c r="I890" s="242" t="s">
        <v>641</v>
      </c>
      <c r="J890" s="170" t="s">
        <v>96</v>
      </c>
      <c r="K890" s="170" t="s">
        <v>345</v>
      </c>
      <c r="L890" s="170" t="s">
        <v>113</v>
      </c>
      <c r="M890" s="75"/>
      <c r="N890" s="75"/>
      <c r="O890" s="75"/>
    </row>
    <row r="891" spans="1:15" ht="15.6">
      <c r="A891" s="468">
        <v>46111</v>
      </c>
      <c r="B891" s="170" t="s">
        <v>722</v>
      </c>
      <c r="C891" s="170" t="s">
        <v>337</v>
      </c>
      <c r="D891" s="456" t="s">
        <v>97</v>
      </c>
      <c r="E891" s="476">
        <v>1000</v>
      </c>
      <c r="F891" s="454">
        <f t="shared" si="14"/>
        <v>1.867727535907062</v>
      </c>
      <c r="G891" s="239">
        <v>535.41</v>
      </c>
      <c r="H891" s="456" t="s">
        <v>134</v>
      </c>
      <c r="I891" s="170" t="s">
        <v>730</v>
      </c>
      <c r="J891" s="170" t="s">
        <v>96</v>
      </c>
      <c r="K891" s="170" t="s">
        <v>345</v>
      </c>
      <c r="L891" s="170" t="s">
        <v>113</v>
      </c>
      <c r="M891" s="75"/>
      <c r="N891" s="75"/>
      <c r="O891" s="75"/>
    </row>
    <row r="892" spans="1:15" ht="15.6">
      <c r="A892" s="468">
        <v>46111</v>
      </c>
      <c r="B892" s="170" t="s">
        <v>723</v>
      </c>
      <c r="C892" s="170" t="s">
        <v>337</v>
      </c>
      <c r="D892" s="456" t="s">
        <v>97</v>
      </c>
      <c r="E892" s="476">
        <v>1000</v>
      </c>
      <c r="F892" s="454">
        <f t="shared" si="14"/>
        <v>1.867727535907062</v>
      </c>
      <c r="G892" s="239">
        <v>535.41</v>
      </c>
      <c r="H892" s="456" t="s">
        <v>134</v>
      </c>
      <c r="I892" s="170" t="s">
        <v>730</v>
      </c>
      <c r="J892" s="170" t="s">
        <v>96</v>
      </c>
      <c r="K892" s="170" t="s">
        <v>345</v>
      </c>
      <c r="L892" s="170" t="s">
        <v>113</v>
      </c>
      <c r="M892" s="75"/>
      <c r="N892" s="75"/>
      <c r="O892" s="75"/>
    </row>
    <row r="893" spans="1:15" ht="15.6">
      <c r="A893" s="468">
        <v>46111</v>
      </c>
      <c r="B893" s="170" t="s">
        <v>724</v>
      </c>
      <c r="C893" s="242" t="s">
        <v>402</v>
      </c>
      <c r="D893" s="456" t="s">
        <v>97</v>
      </c>
      <c r="E893" s="476">
        <v>12000</v>
      </c>
      <c r="F893" s="454">
        <f t="shared" si="14"/>
        <v>22.412730430884743</v>
      </c>
      <c r="G893" s="239">
        <v>535.41</v>
      </c>
      <c r="H893" s="456" t="s">
        <v>134</v>
      </c>
      <c r="I893" s="170" t="s">
        <v>741</v>
      </c>
      <c r="J893" s="170" t="s">
        <v>96</v>
      </c>
      <c r="K893" s="170" t="s">
        <v>345</v>
      </c>
      <c r="L893" s="170" t="s">
        <v>113</v>
      </c>
      <c r="M893" s="75"/>
      <c r="N893" s="75"/>
      <c r="O893" s="75"/>
    </row>
    <row r="894" spans="1:15" ht="15.6">
      <c r="A894" s="457">
        <v>46111</v>
      </c>
      <c r="B894" s="242" t="s">
        <v>781</v>
      </c>
      <c r="C894" s="242" t="s">
        <v>402</v>
      </c>
      <c r="D894" s="475" t="s">
        <v>100</v>
      </c>
      <c r="E894" s="477">
        <v>12000</v>
      </c>
      <c r="F894" s="454">
        <f t="shared" si="14"/>
        <v>22.412730430884743</v>
      </c>
      <c r="G894" s="239">
        <v>535.41</v>
      </c>
      <c r="H894" s="242" t="s">
        <v>129</v>
      </c>
      <c r="I894" s="242" t="s">
        <v>795</v>
      </c>
      <c r="J894" s="170" t="s">
        <v>96</v>
      </c>
      <c r="K894" s="170" t="s">
        <v>345</v>
      </c>
      <c r="L894" s="170" t="s">
        <v>113</v>
      </c>
      <c r="M894" s="75"/>
      <c r="N894" s="75"/>
      <c r="O894" s="75"/>
    </row>
    <row r="895" spans="1:15" ht="15.6">
      <c r="A895" s="457">
        <v>46111</v>
      </c>
      <c r="B895" s="242" t="s">
        <v>832</v>
      </c>
      <c r="C895" s="242" t="s">
        <v>402</v>
      </c>
      <c r="D895" s="472" t="s">
        <v>97</v>
      </c>
      <c r="E895" s="472">
        <v>12000</v>
      </c>
      <c r="F895" s="454">
        <f t="shared" si="14"/>
        <v>22.412730430884743</v>
      </c>
      <c r="G895" s="239">
        <v>535.41</v>
      </c>
      <c r="H895" s="242" t="s">
        <v>124</v>
      </c>
      <c r="I895" s="242" t="s">
        <v>855</v>
      </c>
      <c r="J895" s="170" t="s">
        <v>96</v>
      </c>
      <c r="K895" s="170" t="s">
        <v>345</v>
      </c>
      <c r="L895" s="170" t="s">
        <v>113</v>
      </c>
      <c r="M895" s="75"/>
      <c r="N895" s="75"/>
      <c r="O895" s="75"/>
    </row>
    <row r="896" spans="1:15" ht="15.6">
      <c r="A896" s="450">
        <v>46111</v>
      </c>
      <c r="B896" s="300" t="s">
        <v>947</v>
      </c>
      <c r="C896" s="472" t="s">
        <v>104</v>
      </c>
      <c r="D896" s="242" t="s">
        <v>259</v>
      </c>
      <c r="E896" s="368">
        <v>225000</v>
      </c>
      <c r="F896" s="454">
        <f t="shared" si="14"/>
        <v>420.23869557908893</v>
      </c>
      <c r="G896" s="239">
        <v>535.41</v>
      </c>
      <c r="H896" s="242" t="s">
        <v>107</v>
      </c>
      <c r="I896" s="242" t="s">
        <v>987</v>
      </c>
      <c r="J896" s="170" t="s">
        <v>96</v>
      </c>
      <c r="K896" s="170" t="s">
        <v>345</v>
      </c>
      <c r="L896" s="170" t="s">
        <v>113</v>
      </c>
      <c r="M896" s="75"/>
      <c r="N896" s="75"/>
      <c r="O896" s="75"/>
    </row>
    <row r="897" spans="1:15" ht="15.6">
      <c r="A897" s="457">
        <v>46112</v>
      </c>
      <c r="B897" s="242" t="s">
        <v>186</v>
      </c>
      <c r="C897" s="170" t="s">
        <v>337</v>
      </c>
      <c r="D897" s="458" t="s">
        <v>99</v>
      </c>
      <c r="E897" s="472">
        <v>1000</v>
      </c>
      <c r="F897" s="454">
        <f t="shared" si="14"/>
        <v>1.9254803020356539</v>
      </c>
      <c r="G897" s="239">
        <v>519.35093749999999</v>
      </c>
      <c r="H897" s="459" t="s">
        <v>111</v>
      </c>
      <c r="I897" s="170" t="s">
        <v>380</v>
      </c>
      <c r="J897" s="170" t="s">
        <v>96</v>
      </c>
      <c r="K897" s="170" t="s">
        <v>345</v>
      </c>
      <c r="L897" s="170" t="s">
        <v>113</v>
      </c>
      <c r="M897" s="361"/>
      <c r="N897" s="361"/>
      <c r="O897" s="271"/>
    </row>
    <row r="898" spans="1:15" ht="15.6">
      <c r="A898" s="457">
        <v>46112</v>
      </c>
      <c r="B898" s="242" t="s">
        <v>377</v>
      </c>
      <c r="C898" s="170" t="s">
        <v>337</v>
      </c>
      <c r="D898" s="458" t="s">
        <v>99</v>
      </c>
      <c r="E898" s="472">
        <v>1000</v>
      </c>
      <c r="F898" s="454">
        <f t="shared" si="14"/>
        <v>1.9254803020356539</v>
      </c>
      <c r="G898" s="239">
        <v>519.35093749999999</v>
      </c>
      <c r="H898" s="459" t="s">
        <v>111</v>
      </c>
      <c r="I898" s="170" t="s">
        <v>380</v>
      </c>
      <c r="J898" s="170" t="s">
        <v>96</v>
      </c>
      <c r="K898" s="170" t="s">
        <v>345</v>
      </c>
      <c r="L898" s="170" t="s">
        <v>113</v>
      </c>
      <c r="M898" s="361"/>
      <c r="N898" s="361"/>
      <c r="O898" s="271"/>
    </row>
    <row r="899" spans="1:15" ht="15.6">
      <c r="A899" s="457">
        <v>46112</v>
      </c>
      <c r="B899" s="242" t="s">
        <v>378</v>
      </c>
      <c r="C899" s="170" t="s">
        <v>337</v>
      </c>
      <c r="D899" s="458" t="s">
        <v>99</v>
      </c>
      <c r="E899" s="472">
        <v>1000</v>
      </c>
      <c r="F899" s="454">
        <f t="shared" si="14"/>
        <v>1.9054742621280678</v>
      </c>
      <c r="G899" s="239">
        <v>524.80372990353703</v>
      </c>
      <c r="H899" s="459" t="s">
        <v>111</v>
      </c>
      <c r="I899" s="170" t="s">
        <v>380</v>
      </c>
      <c r="J899" s="170" t="s">
        <v>96</v>
      </c>
      <c r="K899" s="170" t="s">
        <v>345</v>
      </c>
      <c r="L899" s="170" t="s">
        <v>113</v>
      </c>
      <c r="M899" s="366"/>
      <c r="N899" s="364"/>
      <c r="O899" s="75"/>
    </row>
    <row r="900" spans="1:15" ht="15.6">
      <c r="A900" s="457">
        <v>46112</v>
      </c>
      <c r="B900" s="242" t="s">
        <v>187</v>
      </c>
      <c r="C900" s="170" t="s">
        <v>337</v>
      </c>
      <c r="D900" s="458" t="s">
        <v>99</v>
      </c>
      <c r="E900" s="472">
        <v>1000</v>
      </c>
      <c r="F900" s="454">
        <f t="shared" si="14"/>
        <v>1.9254803020356539</v>
      </c>
      <c r="G900" s="239">
        <v>519.35093749999999</v>
      </c>
      <c r="H900" s="459" t="s">
        <v>111</v>
      </c>
      <c r="I900" s="170" t="s">
        <v>380</v>
      </c>
      <c r="J900" s="170" t="s">
        <v>96</v>
      </c>
      <c r="K900" s="170" t="s">
        <v>345</v>
      </c>
      <c r="L900" s="170" t="s">
        <v>113</v>
      </c>
      <c r="M900" s="361"/>
      <c r="N900" s="361"/>
      <c r="O900" s="271"/>
    </row>
    <row r="901" spans="1:15" ht="15.6">
      <c r="A901" s="466">
        <v>46112</v>
      </c>
      <c r="B901" s="464" t="s">
        <v>418</v>
      </c>
      <c r="C901" s="464" t="s">
        <v>414</v>
      </c>
      <c r="D901" s="463" t="s">
        <v>97</v>
      </c>
      <c r="E901" s="465">
        <v>3000</v>
      </c>
      <c r="F901" s="454">
        <f t="shared" si="14"/>
        <v>5.6031826077211857</v>
      </c>
      <c r="G901" s="239">
        <v>535.41</v>
      </c>
      <c r="H901" s="165" t="s">
        <v>128</v>
      </c>
      <c r="I901" s="464" t="s">
        <v>435</v>
      </c>
      <c r="J901" s="170" t="s">
        <v>96</v>
      </c>
      <c r="K901" s="170" t="s">
        <v>345</v>
      </c>
      <c r="L901" s="170" t="s">
        <v>113</v>
      </c>
      <c r="M901" s="75"/>
      <c r="N901" s="75"/>
      <c r="O901" s="75"/>
    </row>
    <row r="902" spans="1:15" ht="15.6">
      <c r="A902" s="466">
        <v>46112</v>
      </c>
      <c r="B902" s="464" t="s">
        <v>419</v>
      </c>
      <c r="C902" s="170" t="s">
        <v>337</v>
      </c>
      <c r="D902" s="463" t="s">
        <v>97</v>
      </c>
      <c r="E902" s="465">
        <v>500</v>
      </c>
      <c r="F902" s="454">
        <f t="shared" si="14"/>
        <v>0.93386376795353099</v>
      </c>
      <c r="G902" s="239">
        <v>535.41</v>
      </c>
      <c r="H902" s="165" t="s">
        <v>128</v>
      </c>
      <c r="I902" s="464" t="s">
        <v>431</v>
      </c>
      <c r="J902" s="170" t="s">
        <v>96</v>
      </c>
      <c r="K902" s="170" t="s">
        <v>345</v>
      </c>
      <c r="L902" s="170" t="s">
        <v>113</v>
      </c>
      <c r="M902" s="75"/>
      <c r="N902" s="75"/>
      <c r="O902" s="75"/>
    </row>
    <row r="903" spans="1:15" ht="15.6">
      <c r="A903" s="466">
        <v>46112</v>
      </c>
      <c r="B903" s="464" t="s">
        <v>420</v>
      </c>
      <c r="C903" s="170" t="s">
        <v>337</v>
      </c>
      <c r="D903" s="463" t="s">
        <v>97</v>
      </c>
      <c r="E903" s="465">
        <v>300</v>
      </c>
      <c r="F903" s="454">
        <f t="shared" si="14"/>
        <v>0.56031826077211855</v>
      </c>
      <c r="G903" s="239">
        <v>535.41</v>
      </c>
      <c r="H903" s="165" t="s">
        <v>128</v>
      </c>
      <c r="I903" s="464" t="s">
        <v>431</v>
      </c>
      <c r="J903" s="170" t="s">
        <v>96</v>
      </c>
      <c r="K903" s="170" t="s">
        <v>345</v>
      </c>
      <c r="L903" s="170" t="s">
        <v>113</v>
      </c>
      <c r="M903" s="75"/>
      <c r="N903" s="75"/>
      <c r="O903" s="75"/>
    </row>
    <row r="904" spans="1:15" ht="15.6">
      <c r="A904" s="466">
        <v>46112</v>
      </c>
      <c r="B904" s="464" t="s">
        <v>421</v>
      </c>
      <c r="C904" s="170" t="s">
        <v>337</v>
      </c>
      <c r="D904" s="463" t="s">
        <v>97</v>
      </c>
      <c r="E904" s="465">
        <v>500</v>
      </c>
      <c r="F904" s="454">
        <f t="shared" si="14"/>
        <v>0.93386376795353099</v>
      </c>
      <c r="G904" s="239">
        <v>535.41</v>
      </c>
      <c r="H904" s="165" t="s">
        <v>128</v>
      </c>
      <c r="I904" s="464" t="s">
        <v>431</v>
      </c>
      <c r="J904" s="170" t="s">
        <v>96</v>
      </c>
      <c r="K904" s="170" t="s">
        <v>345</v>
      </c>
      <c r="L904" s="170" t="s">
        <v>113</v>
      </c>
      <c r="M904" s="75"/>
      <c r="N904" s="75"/>
      <c r="O904" s="75"/>
    </row>
    <row r="905" spans="1:15" ht="15.6">
      <c r="A905" s="466">
        <v>46112</v>
      </c>
      <c r="B905" s="464" t="s">
        <v>422</v>
      </c>
      <c r="C905" s="464" t="s">
        <v>406</v>
      </c>
      <c r="D905" s="463" t="s">
        <v>97</v>
      </c>
      <c r="E905" s="465">
        <v>20000</v>
      </c>
      <c r="F905" s="454">
        <f t="shared" si="14"/>
        <v>37.35455071814124</v>
      </c>
      <c r="G905" s="239">
        <v>535.41</v>
      </c>
      <c r="H905" s="165" t="s">
        <v>128</v>
      </c>
      <c r="I905" s="464" t="s">
        <v>437</v>
      </c>
      <c r="J905" s="170" t="s">
        <v>96</v>
      </c>
      <c r="K905" s="170" t="s">
        <v>345</v>
      </c>
      <c r="L905" s="170" t="s">
        <v>113</v>
      </c>
      <c r="M905" s="75"/>
      <c r="N905" s="75"/>
      <c r="O905" s="75"/>
    </row>
    <row r="906" spans="1:15" ht="15.6">
      <c r="A906" s="466">
        <v>46112</v>
      </c>
      <c r="B906" s="464" t="s">
        <v>423</v>
      </c>
      <c r="C906" s="170" t="s">
        <v>337</v>
      </c>
      <c r="D906" s="463" t="s">
        <v>97</v>
      </c>
      <c r="E906" s="465">
        <v>300</v>
      </c>
      <c r="F906" s="454">
        <f t="shared" si="14"/>
        <v>0.56031826077211855</v>
      </c>
      <c r="G906" s="239">
        <v>535.41</v>
      </c>
      <c r="H906" s="165" t="s">
        <v>128</v>
      </c>
      <c r="I906" s="464" t="s">
        <v>431</v>
      </c>
      <c r="J906" s="170" t="s">
        <v>96</v>
      </c>
      <c r="K906" s="170" t="s">
        <v>345</v>
      </c>
      <c r="L906" s="170" t="s">
        <v>113</v>
      </c>
      <c r="M906" s="75"/>
      <c r="N906" s="75"/>
      <c r="O906" s="75"/>
    </row>
    <row r="907" spans="1:15" ht="15.6">
      <c r="A907" s="466">
        <v>46112</v>
      </c>
      <c r="B907" s="464" t="s">
        <v>424</v>
      </c>
      <c r="C907" s="170" t="s">
        <v>337</v>
      </c>
      <c r="D907" s="463" t="s">
        <v>97</v>
      </c>
      <c r="E907" s="465">
        <v>500</v>
      </c>
      <c r="F907" s="454">
        <f t="shared" si="14"/>
        <v>0.93386376795353099</v>
      </c>
      <c r="G907" s="239">
        <v>535.41</v>
      </c>
      <c r="H907" s="165" t="s">
        <v>128</v>
      </c>
      <c r="I907" s="464" t="s">
        <v>431</v>
      </c>
      <c r="J907" s="170" t="s">
        <v>96</v>
      </c>
      <c r="K907" s="170" t="s">
        <v>345</v>
      </c>
      <c r="L907" s="170" t="s">
        <v>113</v>
      </c>
      <c r="M907" s="75"/>
      <c r="N907" s="75"/>
      <c r="O907" s="75"/>
    </row>
    <row r="908" spans="1:15" ht="15.6">
      <c r="A908" s="467">
        <v>46112</v>
      </c>
      <c r="B908" s="242" t="s">
        <v>507</v>
      </c>
      <c r="C908" s="170" t="s">
        <v>337</v>
      </c>
      <c r="D908" s="242" t="s">
        <v>98</v>
      </c>
      <c r="E908" s="369">
        <v>1000</v>
      </c>
      <c r="F908" s="454">
        <f t="shared" si="14"/>
        <v>1.867727535907062</v>
      </c>
      <c r="G908" s="239">
        <v>535.41</v>
      </c>
      <c r="H908" s="242" t="s">
        <v>168</v>
      </c>
      <c r="I908" s="242" t="s">
        <v>510</v>
      </c>
      <c r="J908" s="170" t="s">
        <v>96</v>
      </c>
      <c r="K908" s="170" t="s">
        <v>345</v>
      </c>
      <c r="L908" s="170" t="s">
        <v>113</v>
      </c>
      <c r="M908" s="75"/>
      <c r="N908" s="75"/>
      <c r="O908" s="75"/>
    </row>
    <row r="909" spans="1:15" ht="15.6">
      <c r="A909" s="467">
        <v>46112</v>
      </c>
      <c r="B909" s="242" t="s">
        <v>508</v>
      </c>
      <c r="C909" s="170" t="s">
        <v>337</v>
      </c>
      <c r="D909" s="242" t="s">
        <v>98</v>
      </c>
      <c r="E909" s="369">
        <v>1000</v>
      </c>
      <c r="F909" s="454">
        <f t="shared" si="14"/>
        <v>1.867727535907062</v>
      </c>
      <c r="G909" s="239">
        <v>535.41</v>
      </c>
      <c r="H909" s="242" t="s">
        <v>168</v>
      </c>
      <c r="I909" s="242" t="s">
        <v>510</v>
      </c>
      <c r="J909" s="170" t="s">
        <v>96</v>
      </c>
      <c r="K909" s="170" t="s">
        <v>345</v>
      </c>
      <c r="L909" s="170" t="s">
        <v>113</v>
      </c>
      <c r="M909" s="75"/>
      <c r="N909" s="75"/>
      <c r="O909" s="75"/>
    </row>
    <row r="910" spans="1:15" ht="15.6">
      <c r="A910" s="467">
        <v>46112</v>
      </c>
      <c r="B910" s="242" t="s">
        <v>509</v>
      </c>
      <c r="C910" s="170" t="s">
        <v>337</v>
      </c>
      <c r="D910" s="242" t="s">
        <v>98</v>
      </c>
      <c r="E910" s="369">
        <v>1000</v>
      </c>
      <c r="F910" s="454">
        <f t="shared" si="14"/>
        <v>1.867727535907062</v>
      </c>
      <c r="G910" s="239">
        <v>535.41</v>
      </c>
      <c r="H910" s="242" t="s">
        <v>168</v>
      </c>
      <c r="I910" s="242" t="s">
        <v>510</v>
      </c>
      <c r="J910" s="170" t="s">
        <v>96</v>
      </c>
      <c r="K910" s="170" t="s">
        <v>345</v>
      </c>
      <c r="L910" s="170" t="s">
        <v>113</v>
      </c>
      <c r="M910" s="75"/>
      <c r="N910" s="75"/>
      <c r="O910" s="75"/>
    </row>
    <row r="911" spans="1:15" ht="15.6">
      <c r="A911" s="428">
        <v>46112</v>
      </c>
      <c r="B911" s="429" t="s">
        <v>1052</v>
      </c>
      <c r="C911" s="170" t="s">
        <v>337</v>
      </c>
      <c r="D911" s="429" t="s">
        <v>259</v>
      </c>
      <c r="E911" s="473">
        <v>500</v>
      </c>
      <c r="F911" s="454">
        <f t="shared" si="14"/>
        <v>0.93386376795353099</v>
      </c>
      <c r="G911" s="239">
        <v>535.41</v>
      </c>
      <c r="H911" s="429" t="s">
        <v>123</v>
      </c>
      <c r="I911" s="429" t="s">
        <v>550</v>
      </c>
      <c r="J911" s="170" t="s">
        <v>96</v>
      </c>
      <c r="K911" s="170" t="s">
        <v>345</v>
      </c>
      <c r="L911" s="170" t="s">
        <v>113</v>
      </c>
      <c r="M911" s="75"/>
      <c r="N911" s="75"/>
      <c r="O911" s="75"/>
    </row>
    <row r="912" spans="1:15" ht="15.6">
      <c r="A912" s="428">
        <v>46112</v>
      </c>
      <c r="B912" s="429" t="s">
        <v>1033</v>
      </c>
      <c r="C912" s="170" t="s">
        <v>337</v>
      </c>
      <c r="D912" s="429" t="s">
        <v>259</v>
      </c>
      <c r="E912" s="473">
        <v>500</v>
      </c>
      <c r="F912" s="454">
        <f t="shared" si="14"/>
        <v>0.93386376795353099</v>
      </c>
      <c r="G912" s="239">
        <v>535.41</v>
      </c>
      <c r="H912" s="429" t="s">
        <v>123</v>
      </c>
      <c r="I912" s="429" t="s">
        <v>550</v>
      </c>
      <c r="J912" s="170" t="s">
        <v>96</v>
      </c>
      <c r="K912" s="170" t="s">
        <v>345</v>
      </c>
      <c r="L912" s="170" t="s">
        <v>113</v>
      </c>
      <c r="M912" s="75"/>
      <c r="N912" s="75"/>
      <c r="O912" s="75"/>
    </row>
    <row r="913" spans="1:15" ht="15.6">
      <c r="A913" s="428">
        <v>46112</v>
      </c>
      <c r="B913" s="429" t="s">
        <v>1051</v>
      </c>
      <c r="C913" s="429" t="s">
        <v>542</v>
      </c>
      <c r="D913" s="429" t="s">
        <v>259</v>
      </c>
      <c r="E913" s="473">
        <v>110000</v>
      </c>
      <c r="F913" s="454">
        <f t="shared" si="14"/>
        <v>205.45002894977682</v>
      </c>
      <c r="G913" s="239">
        <v>535.41</v>
      </c>
      <c r="H913" s="429" t="s">
        <v>123</v>
      </c>
      <c r="I913" s="429" t="s">
        <v>581</v>
      </c>
      <c r="J913" s="170" t="s">
        <v>96</v>
      </c>
      <c r="K913" s="170" t="s">
        <v>345</v>
      </c>
      <c r="L913" s="170" t="s">
        <v>113</v>
      </c>
      <c r="M913" s="75"/>
      <c r="N913" s="75"/>
      <c r="O913" s="75"/>
    </row>
    <row r="914" spans="1:15" ht="15.6">
      <c r="A914" s="428">
        <v>46112</v>
      </c>
      <c r="B914" s="429" t="s">
        <v>1028</v>
      </c>
      <c r="C914" s="242" t="s">
        <v>402</v>
      </c>
      <c r="D914" s="429" t="s">
        <v>259</v>
      </c>
      <c r="E914" s="429">
        <v>2000</v>
      </c>
      <c r="F914" s="454">
        <f t="shared" si="14"/>
        <v>3.735455071814124</v>
      </c>
      <c r="G914" s="239">
        <v>535.41</v>
      </c>
      <c r="H914" s="429" t="s">
        <v>123</v>
      </c>
      <c r="I914" s="429" t="s">
        <v>582</v>
      </c>
      <c r="J914" s="170" t="s">
        <v>96</v>
      </c>
      <c r="K914" s="170" t="s">
        <v>345</v>
      </c>
      <c r="L914" s="170" t="s">
        <v>113</v>
      </c>
      <c r="M914" s="75"/>
      <c r="N914" s="75"/>
      <c r="O914" s="75"/>
    </row>
    <row r="915" spans="1:15" ht="15.6">
      <c r="A915" s="428">
        <v>46112</v>
      </c>
      <c r="B915" s="429" t="s">
        <v>1066</v>
      </c>
      <c r="C915" s="170" t="s">
        <v>337</v>
      </c>
      <c r="D915" s="429" t="s">
        <v>259</v>
      </c>
      <c r="E915" s="473">
        <v>1000</v>
      </c>
      <c r="F915" s="454">
        <f t="shared" si="14"/>
        <v>1.867727535907062</v>
      </c>
      <c r="G915" s="239">
        <v>535.41</v>
      </c>
      <c r="H915" s="429" t="s">
        <v>123</v>
      </c>
      <c r="I915" s="429" t="s">
        <v>550</v>
      </c>
      <c r="J915" s="170" t="s">
        <v>96</v>
      </c>
      <c r="K915" s="170" t="s">
        <v>345</v>
      </c>
      <c r="L915" s="170" t="s">
        <v>113</v>
      </c>
      <c r="M915" s="75"/>
      <c r="N915" s="75"/>
      <c r="O915" s="75"/>
    </row>
    <row r="916" spans="1:15" ht="15.6">
      <c r="A916" s="457">
        <v>46112</v>
      </c>
      <c r="B916" s="170" t="s">
        <v>1034</v>
      </c>
      <c r="C916" s="242" t="s">
        <v>406</v>
      </c>
      <c r="D916" s="242" t="s">
        <v>259</v>
      </c>
      <c r="E916" s="472">
        <v>10000</v>
      </c>
      <c r="F916" s="454">
        <f t="shared" si="14"/>
        <v>18.67727535907062</v>
      </c>
      <c r="G916" s="239">
        <v>535.41</v>
      </c>
      <c r="H916" s="242" t="s">
        <v>122</v>
      </c>
      <c r="I916" s="242" t="s">
        <v>643</v>
      </c>
      <c r="J916" s="170" t="s">
        <v>96</v>
      </c>
      <c r="K916" s="170" t="s">
        <v>345</v>
      </c>
      <c r="L916" s="170" t="s">
        <v>113</v>
      </c>
      <c r="M916" s="75"/>
      <c r="N916" s="75"/>
      <c r="O916" s="75"/>
    </row>
    <row r="917" spans="1:15" ht="15.6">
      <c r="A917" s="457">
        <v>46112</v>
      </c>
      <c r="B917" s="242" t="s">
        <v>1027</v>
      </c>
      <c r="C917" s="170" t="s">
        <v>337</v>
      </c>
      <c r="D917" s="242" t="s">
        <v>259</v>
      </c>
      <c r="E917" s="472">
        <v>500</v>
      </c>
      <c r="F917" s="454">
        <f t="shared" si="14"/>
        <v>0.93386376795353099</v>
      </c>
      <c r="G917" s="239">
        <v>535.41</v>
      </c>
      <c r="H917" s="242" t="s">
        <v>122</v>
      </c>
      <c r="I917" s="242" t="s">
        <v>594</v>
      </c>
      <c r="J917" s="170" t="s">
        <v>96</v>
      </c>
      <c r="K917" s="170" t="s">
        <v>345</v>
      </c>
      <c r="L917" s="170" t="s">
        <v>113</v>
      </c>
      <c r="M917" s="75"/>
      <c r="N917" s="75"/>
      <c r="O917" s="75"/>
    </row>
    <row r="918" spans="1:15" ht="15.6">
      <c r="A918" s="457">
        <v>46112</v>
      </c>
      <c r="B918" s="242" t="s">
        <v>1045</v>
      </c>
      <c r="C918" s="242" t="s">
        <v>402</v>
      </c>
      <c r="D918" s="242" t="s">
        <v>259</v>
      </c>
      <c r="E918" s="472">
        <v>2000</v>
      </c>
      <c r="F918" s="454">
        <f t="shared" si="14"/>
        <v>3.735455071814124</v>
      </c>
      <c r="G918" s="239">
        <v>535.41</v>
      </c>
      <c r="H918" s="242" t="s">
        <v>122</v>
      </c>
      <c r="I918" s="242" t="s">
        <v>644</v>
      </c>
      <c r="J918" s="170" t="s">
        <v>96</v>
      </c>
      <c r="K918" s="170" t="s">
        <v>345</v>
      </c>
      <c r="L918" s="170" t="s">
        <v>113</v>
      </c>
      <c r="M918" s="75"/>
      <c r="N918" s="75"/>
      <c r="O918" s="75"/>
    </row>
    <row r="919" spans="1:15" ht="15.6">
      <c r="A919" s="457">
        <v>46112</v>
      </c>
      <c r="B919" s="242" t="s">
        <v>1074</v>
      </c>
      <c r="C919" s="170" t="s">
        <v>337</v>
      </c>
      <c r="D919" s="242" t="s">
        <v>259</v>
      </c>
      <c r="E919" s="472">
        <v>1000</v>
      </c>
      <c r="F919" s="454">
        <f t="shared" si="14"/>
        <v>1.867727535907062</v>
      </c>
      <c r="G919" s="239">
        <v>535.41</v>
      </c>
      <c r="H919" s="242" t="s">
        <v>122</v>
      </c>
      <c r="I919" s="242" t="s">
        <v>594</v>
      </c>
      <c r="J919" s="170" t="s">
        <v>96</v>
      </c>
      <c r="K919" s="170" t="s">
        <v>345</v>
      </c>
      <c r="L919" s="170" t="s">
        <v>113</v>
      </c>
      <c r="M919" s="75"/>
      <c r="N919" s="75"/>
      <c r="O919" s="75"/>
    </row>
    <row r="920" spans="1:15" ht="15.6">
      <c r="A920" s="457">
        <v>46112</v>
      </c>
      <c r="B920" s="242" t="s">
        <v>1025</v>
      </c>
      <c r="C920" s="170" t="s">
        <v>337</v>
      </c>
      <c r="D920" s="242" t="s">
        <v>259</v>
      </c>
      <c r="E920" s="472">
        <v>500</v>
      </c>
      <c r="F920" s="454">
        <f t="shared" si="14"/>
        <v>0.93386376795353099</v>
      </c>
      <c r="G920" s="239">
        <v>535.41</v>
      </c>
      <c r="H920" s="242" t="s">
        <v>122</v>
      </c>
      <c r="I920" s="242" t="s">
        <v>594</v>
      </c>
      <c r="J920" s="170" t="s">
        <v>96</v>
      </c>
      <c r="K920" s="170" t="s">
        <v>345</v>
      </c>
      <c r="L920" s="170" t="s">
        <v>113</v>
      </c>
      <c r="M920" s="75"/>
      <c r="N920" s="75"/>
      <c r="O920" s="75"/>
    </row>
    <row r="921" spans="1:15" ht="15.6">
      <c r="A921" s="468">
        <v>46112</v>
      </c>
      <c r="B921" s="170" t="s">
        <v>725</v>
      </c>
      <c r="C921" s="170" t="s">
        <v>337</v>
      </c>
      <c r="D921" s="456" t="s">
        <v>97</v>
      </c>
      <c r="E921" s="476">
        <v>1000</v>
      </c>
      <c r="F921" s="454">
        <f t="shared" si="14"/>
        <v>1.867727535907062</v>
      </c>
      <c r="G921" s="239">
        <v>535.41</v>
      </c>
      <c r="H921" s="456" t="s">
        <v>134</v>
      </c>
      <c r="I921" s="170" t="s">
        <v>730</v>
      </c>
      <c r="J921" s="170" t="s">
        <v>96</v>
      </c>
      <c r="K921" s="170" t="s">
        <v>345</v>
      </c>
      <c r="L921" s="170" t="s">
        <v>113</v>
      </c>
      <c r="M921" s="75"/>
      <c r="N921" s="75"/>
      <c r="O921" s="75"/>
    </row>
    <row r="922" spans="1:15" ht="15.6">
      <c r="A922" s="468">
        <v>46112</v>
      </c>
      <c r="B922" s="170" t="s">
        <v>726</v>
      </c>
      <c r="C922" s="170" t="s">
        <v>337</v>
      </c>
      <c r="D922" s="456" t="s">
        <v>97</v>
      </c>
      <c r="E922" s="476">
        <v>500</v>
      </c>
      <c r="F922" s="454">
        <f t="shared" si="14"/>
        <v>0.93386376795353099</v>
      </c>
      <c r="G922" s="239">
        <v>535.41</v>
      </c>
      <c r="H922" s="456" t="s">
        <v>134</v>
      </c>
      <c r="I922" s="170" t="s">
        <v>730</v>
      </c>
      <c r="J922" s="170" t="s">
        <v>96</v>
      </c>
      <c r="K922" s="170" t="s">
        <v>345</v>
      </c>
      <c r="L922" s="170" t="s">
        <v>113</v>
      </c>
      <c r="M922" s="75"/>
      <c r="N922" s="75"/>
      <c r="O922" s="75"/>
    </row>
    <row r="923" spans="1:15" ht="15.6">
      <c r="A923" s="468">
        <v>46112</v>
      </c>
      <c r="B923" s="170" t="s">
        <v>727</v>
      </c>
      <c r="C923" s="170" t="s">
        <v>542</v>
      </c>
      <c r="D923" s="170" t="s">
        <v>97</v>
      </c>
      <c r="E923" s="476">
        <v>50000</v>
      </c>
      <c r="F923" s="454">
        <f t="shared" si="14"/>
        <v>93.386376795353101</v>
      </c>
      <c r="G923" s="239">
        <v>535.41</v>
      </c>
      <c r="H923" s="456" t="s">
        <v>134</v>
      </c>
      <c r="I923" s="170" t="s">
        <v>743</v>
      </c>
      <c r="J923" s="170" t="s">
        <v>96</v>
      </c>
      <c r="K923" s="170" t="s">
        <v>345</v>
      </c>
      <c r="L923" s="170" t="s">
        <v>113</v>
      </c>
      <c r="M923" s="75"/>
      <c r="N923" s="75"/>
      <c r="O923" s="75"/>
    </row>
    <row r="924" spans="1:15" ht="15.6">
      <c r="A924" s="457">
        <v>46112</v>
      </c>
      <c r="B924" s="242" t="s">
        <v>783</v>
      </c>
      <c r="C924" s="170" t="s">
        <v>337</v>
      </c>
      <c r="D924" s="469" t="s">
        <v>100</v>
      </c>
      <c r="E924" s="477">
        <v>1000</v>
      </c>
      <c r="F924" s="454">
        <f t="shared" si="14"/>
        <v>1.867727535907062</v>
      </c>
      <c r="G924" s="239">
        <v>535.41</v>
      </c>
      <c r="H924" s="242" t="s">
        <v>129</v>
      </c>
      <c r="I924" s="242" t="s">
        <v>792</v>
      </c>
      <c r="J924" s="170" t="s">
        <v>96</v>
      </c>
      <c r="K924" s="170" t="s">
        <v>345</v>
      </c>
      <c r="L924" s="170" t="s">
        <v>113</v>
      </c>
      <c r="M924" s="75"/>
      <c r="N924" s="75"/>
      <c r="O924" s="75"/>
    </row>
    <row r="925" spans="1:15" ht="15.6">
      <c r="A925" s="457">
        <v>46112</v>
      </c>
      <c r="B925" s="242" t="s">
        <v>784</v>
      </c>
      <c r="C925" s="170" t="s">
        <v>337</v>
      </c>
      <c r="D925" s="469" t="s">
        <v>100</v>
      </c>
      <c r="E925" s="477">
        <v>500</v>
      </c>
      <c r="F925" s="454">
        <f t="shared" si="14"/>
        <v>0.93386376795353099</v>
      </c>
      <c r="G925" s="239">
        <v>535.41</v>
      </c>
      <c r="H925" s="242" t="s">
        <v>129</v>
      </c>
      <c r="I925" s="242" t="s">
        <v>792</v>
      </c>
      <c r="J925" s="170" t="s">
        <v>96</v>
      </c>
      <c r="K925" s="170" t="s">
        <v>345</v>
      </c>
      <c r="L925" s="170" t="s">
        <v>113</v>
      </c>
      <c r="M925" s="75"/>
      <c r="N925" s="75"/>
      <c r="O925" s="75"/>
    </row>
    <row r="926" spans="1:15" ht="15.6">
      <c r="A926" s="457">
        <v>46112</v>
      </c>
      <c r="B926" s="242" t="s">
        <v>785</v>
      </c>
      <c r="C926" s="242" t="s">
        <v>542</v>
      </c>
      <c r="D926" s="469" t="s">
        <v>100</v>
      </c>
      <c r="E926" s="477">
        <v>50000</v>
      </c>
      <c r="F926" s="454">
        <f t="shared" si="14"/>
        <v>93.386376795353101</v>
      </c>
      <c r="G926" s="239">
        <v>535.41</v>
      </c>
      <c r="H926" s="242" t="s">
        <v>129</v>
      </c>
      <c r="I926" s="242" t="s">
        <v>797</v>
      </c>
      <c r="J926" s="170" t="s">
        <v>96</v>
      </c>
      <c r="K926" s="170" t="s">
        <v>345</v>
      </c>
      <c r="L926" s="170" t="s">
        <v>113</v>
      </c>
      <c r="M926" s="75"/>
      <c r="N926" s="75"/>
      <c r="O926" s="75"/>
    </row>
    <row r="927" spans="1:15" ht="15.6">
      <c r="A927" s="457">
        <v>46112</v>
      </c>
      <c r="B927" s="242" t="s">
        <v>833</v>
      </c>
      <c r="C927" s="170" t="s">
        <v>337</v>
      </c>
      <c r="D927" s="242" t="s">
        <v>97</v>
      </c>
      <c r="E927" s="472">
        <v>2000</v>
      </c>
      <c r="F927" s="454">
        <f t="shared" ref="F927:F929" si="15">E927/G927</f>
        <v>3.735455071814124</v>
      </c>
      <c r="G927" s="239">
        <v>535.41</v>
      </c>
      <c r="H927" s="242" t="s">
        <v>124</v>
      </c>
      <c r="I927" s="242" t="s">
        <v>836</v>
      </c>
      <c r="J927" s="170" t="s">
        <v>96</v>
      </c>
      <c r="K927" s="170" t="s">
        <v>345</v>
      </c>
      <c r="L927" s="170" t="s">
        <v>113</v>
      </c>
      <c r="M927" s="75"/>
      <c r="N927" s="75"/>
      <c r="O927" s="75"/>
    </row>
    <row r="928" spans="1:15" ht="15.6">
      <c r="A928" s="457">
        <v>46112</v>
      </c>
      <c r="B928" s="242" t="s">
        <v>834</v>
      </c>
      <c r="C928" s="170" t="s">
        <v>337</v>
      </c>
      <c r="D928" s="242" t="s">
        <v>97</v>
      </c>
      <c r="E928" s="472">
        <v>500</v>
      </c>
      <c r="F928" s="454">
        <f t="shared" si="15"/>
        <v>0.93386376795353099</v>
      </c>
      <c r="G928" s="239">
        <v>535.41</v>
      </c>
      <c r="H928" s="242" t="s">
        <v>124</v>
      </c>
      <c r="I928" s="242" t="s">
        <v>836</v>
      </c>
      <c r="J928" s="170" t="s">
        <v>96</v>
      </c>
      <c r="K928" s="170" t="s">
        <v>345</v>
      </c>
      <c r="L928" s="170" t="s">
        <v>113</v>
      </c>
      <c r="M928" s="75"/>
      <c r="N928" s="75"/>
      <c r="O928" s="75"/>
    </row>
    <row r="929" spans="1:15" ht="15.6">
      <c r="A929" s="457">
        <v>46112</v>
      </c>
      <c r="B929" s="242" t="s">
        <v>835</v>
      </c>
      <c r="C929" s="242" t="s">
        <v>542</v>
      </c>
      <c r="D929" s="242" t="s">
        <v>97</v>
      </c>
      <c r="E929" s="472">
        <v>50000</v>
      </c>
      <c r="F929" s="454">
        <f t="shared" si="15"/>
        <v>93.386376795353101</v>
      </c>
      <c r="G929" s="239">
        <v>535.41</v>
      </c>
      <c r="H929" s="242" t="s">
        <v>124</v>
      </c>
      <c r="I929" s="242" t="s">
        <v>856</v>
      </c>
      <c r="J929" s="170" t="s">
        <v>96</v>
      </c>
      <c r="K929" s="170" t="s">
        <v>345</v>
      </c>
      <c r="L929" s="170" t="s">
        <v>113</v>
      </c>
      <c r="M929" s="75"/>
      <c r="N929" s="75"/>
      <c r="O929" s="75"/>
    </row>
  </sheetData>
  <autoFilter ref="A1:O929">
    <filterColumn colId="0">
      <filters>
        <dateGroupItem year="2026" month="3" dateTimeGrouping="month"/>
      </filters>
    </filterColumn>
  </autoFilter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9"/>
  <sheetViews>
    <sheetView zoomScaleNormal="100" workbookViewId="0">
      <pane ySplit="1" topLeftCell="A2" activePane="bottomLeft" state="frozen"/>
      <selection pane="bottomLeft" activeCell="M63" sqref="M63"/>
    </sheetView>
  </sheetViews>
  <sheetFormatPr baseColWidth="10" defaultColWidth="8.69921875" defaultRowHeight="13.8"/>
  <cols>
    <col min="1" max="1" width="13.3984375" customWidth="1"/>
    <col min="2" max="2" width="18.296875" customWidth="1"/>
    <col min="3" max="3" width="13.3984375" customWidth="1"/>
    <col min="4" max="4" width="13.3984375" style="71" customWidth="1"/>
    <col min="5" max="8" width="13.3984375" customWidth="1"/>
    <col min="9" max="9" width="16" customWidth="1"/>
    <col min="10" max="10" width="19.09765625" style="157" customWidth="1"/>
    <col min="11" max="11" width="15.8984375" bestFit="1" customWidth="1"/>
    <col min="12" max="12" width="25.09765625" style="502" bestFit="1" customWidth="1"/>
    <col min="13" max="13" width="21" style="502" bestFit="1" customWidth="1"/>
    <col min="14" max="14" width="23" style="502" bestFit="1" customWidth="1"/>
    <col min="15" max="15" width="20.09765625" style="502" bestFit="1" customWidth="1"/>
  </cols>
  <sheetData>
    <row r="1" spans="1:15" ht="26.4">
      <c r="A1" s="99" t="s">
        <v>135</v>
      </c>
      <c r="B1" s="100" t="s">
        <v>73</v>
      </c>
      <c r="C1" s="100" t="s">
        <v>74</v>
      </c>
      <c r="D1" s="386" t="s">
        <v>75</v>
      </c>
      <c r="E1" s="100" t="s">
        <v>76</v>
      </c>
      <c r="F1" s="100" t="s">
        <v>77</v>
      </c>
      <c r="G1" s="100" t="s">
        <v>78</v>
      </c>
      <c r="H1" s="100" t="s">
        <v>79</v>
      </c>
      <c r="I1" s="100" t="s">
        <v>71</v>
      </c>
      <c r="J1" s="156" t="s">
        <v>72</v>
      </c>
    </row>
    <row r="2" spans="1:15">
      <c r="A2" s="101" t="s">
        <v>343</v>
      </c>
      <c r="B2" s="102">
        <f>C2*J14</f>
        <v>0</v>
      </c>
      <c r="C2" s="103">
        <v>0</v>
      </c>
      <c r="D2" s="387">
        <f>SUM(D3:D8)</f>
        <v>8160698</v>
      </c>
      <c r="E2" s="103">
        <f>SUM(E3:E8)</f>
        <v>15550</v>
      </c>
      <c r="F2" s="103">
        <f>SUM(F3:F8)</f>
        <v>0</v>
      </c>
      <c r="G2" s="103">
        <f>SUM(G3:G8)</f>
        <v>0</v>
      </c>
      <c r="H2" s="103">
        <f>B2+D2-F2</f>
        <v>8160698</v>
      </c>
      <c r="I2" s="103">
        <f>C2+E2-G2</f>
        <v>15550</v>
      </c>
      <c r="K2" s="161" t="s">
        <v>1018</v>
      </c>
      <c r="L2" s="502" t="s">
        <v>339</v>
      </c>
      <c r="M2" s="502" t="s">
        <v>338</v>
      </c>
      <c r="N2" s="502" t="s">
        <v>159</v>
      </c>
      <c r="O2" s="502" t="s">
        <v>164</v>
      </c>
    </row>
    <row r="3" spans="1:15">
      <c r="A3" s="112" t="s">
        <v>80</v>
      </c>
      <c r="B3" s="108"/>
      <c r="C3" s="111"/>
      <c r="D3" s="388"/>
      <c r="E3" s="205"/>
      <c r="F3" s="204"/>
      <c r="G3" s="205"/>
      <c r="H3" s="111">
        <f>B2+D3-F3</f>
        <v>0</v>
      </c>
      <c r="I3" s="111">
        <f>C2+E3-G3</f>
        <v>0</v>
      </c>
      <c r="J3" s="160"/>
      <c r="K3" s="141" t="s">
        <v>340</v>
      </c>
      <c r="L3" s="502">
        <v>8160698</v>
      </c>
      <c r="M3" s="502">
        <v>15550</v>
      </c>
      <c r="O3" s="502">
        <v>0</v>
      </c>
    </row>
    <row r="4" spans="1:15">
      <c r="A4" s="112" t="s">
        <v>81</v>
      </c>
      <c r="B4" s="108"/>
      <c r="C4" s="111"/>
      <c r="D4" s="388">
        <f>GETPIVOTDATA("Somme de Receved in XAF",$K$2,"Donor","Amis")</f>
        <v>8160698</v>
      </c>
      <c r="E4" s="205">
        <f>GETPIVOTDATA("Somme de Receved  $",$K$2,"Donor","Amis")</f>
        <v>15550</v>
      </c>
      <c r="F4" s="204"/>
      <c r="G4" s="205"/>
      <c r="H4" s="111">
        <f>H3+D4-F4</f>
        <v>8160698</v>
      </c>
      <c r="I4" s="111">
        <f>I3+E4-G4</f>
        <v>15550</v>
      </c>
      <c r="J4" s="157">
        <f>D4/E4</f>
        <v>524.80372990353703</v>
      </c>
      <c r="K4" s="162" t="s">
        <v>1019</v>
      </c>
      <c r="L4" s="502">
        <v>8160698</v>
      </c>
      <c r="M4" s="502">
        <v>15550</v>
      </c>
      <c r="O4" s="502">
        <v>0</v>
      </c>
    </row>
    <row r="5" spans="1:15">
      <c r="A5" s="113" t="s">
        <v>82</v>
      </c>
      <c r="B5" s="105"/>
      <c r="C5" s="105"/>
      <c r="D5" s="389"/>
      <c r="E5" s="105"/>
      <c r="F5" s="106"/>
      <c r="G5" s="105"/>
      <c r="H5" s="111">
        <f t="shared" ref="H5:I14" si="0">H4+D5-F5</f>
        <v>8160698</v>
      </c>
      <c r="I5" s="111">
        <f t="shared" si="0"/>
        <v>15550</v>
      </c>
      <c r="K5" s="141" t="s">
        <v>345</v>
      </c>
      <c r="L5" s="502">
        <v>32124589</v>
      </c>
      <c r="M5" s="502">
        <v>60000</v>
      </c>
      <c r="N5" s="502">
        <v>22956602</v>
      </c>
      <c r="O5" s="502">
        <v>42895.38897140928</v>
      </c>
    </row>
    <row r="6" spans="1:15">
      <c r="A6" s="112" t="s">
        <v>83</v>
      </c>
      <c r="B6" s="105"/>
      <c r="C6" s="105"/>
      <c r="D6" s="389"/>
      <c r="E6" s="105"/>
      <c r="F6" s="106"/>
      <c r="G6" s="105"/>
      <c r="H6" s="111">
        <f t="shared" si="0"/>
        <v>8160698</v>
      </c>
      <c r="I6" s="111">
        <f t="shared" si="0"/>
        <v>15550</v>
      </c>
      <c r="K6" s="162" t="s">
        <v>1019</v>
      </c>
      <c r="N6" s="502">
        <v>3747572</v>
      </c>
      <c r="O6" s="502">
        <v>6999.4460318059164</v>
      </c>
    </row>
    <row r="7" spans="1:15">
      <c r="A7" s="113" t="s">
        <v>84</v>
      </c>
      <c r="B7" s="105"/>
      <c r="C7" s="105"/>
      <c r="D7" s="389"/>
      <c r="E7" s="105"/>
      <c r="F7" s="106"/>
      <c r="G7" s="105"/>
      <c r="H7" s="111">
        <f t="shared" si="0"/>
        <v>8160698</v>
      </c>
      <c r="I7" s="111">
        <f t="shared" si="0"/>
        <v>15550</v>
      </c>
      <c r="K7" s="162" t="s">
        <v>1020</v>
      </c>
      <c r="L7" s="502">
        <v>32124589</v>
      </c>
      <c r="M7" s="502">
        <v>60000</v>
      </c>
      <c r="N7" s="502">
        <v>19209030</v>
      </c>
      <c r="O7" s="502">
        <v>35895.942939603367</v>
      </c>
    </row>
    <row r="8" spans="1:15">
      <c r="A8" s="104" t="s">
        <v>85</v>
      </c>
      <c r="B8" s="105"/>
      <c r="C8" s="105"/>
      <c r="D8" s="389"/>
      <c r="E8" s="105"/>
      <c r="F8" s="106"/>
      <c r="G8" s="105"/>
      <c r="H8" s="111">
        <f t="shared" si="0"/>
        <v>8160698</v>
      </c>
      <c r="I8" s="111">
        <f t="shared" si="0"/>
        <v>15550</v>
      </c>
      <c r="K8" s="141" t="s">
        <v>344</v>
      </c>
      <c r="N8" s="502">
        <v>1661517</v>
      </c>
      <c r="O8" s="502">
        <v>3199.2182549973772</v>
      </c>
    </row>
    <row r="9" spans="1:15">
      <c r="A9" s="104" t="s">
        <v>86</v>
      </c>
      <c r="B9" s="105"/>
      <c r="C9" s="105"/>
      <c r="D9" s="389"/>
      <c r="E9" s="105"/>
      <c r="F9" s="106"/>
      <c r="G9" s="105"/>
      <c r="H9" s="111">
        <f t="shared" si="0"/>
        <v>8160698</v>
      </c>
      <c r="I9" s="111">
        <f t="shared" si="0"/>
        <v>15550</v>
      </c>
      <c r="K9" s="162" t="s">
        <v>1021</v>
      </c>
      <c r="N9" s="502">
        <v>535517</v>
      </c>
      <c r="O9" s="502">
        <v>1031.1274349052283</v>
      </c>
    </row>
    <row r="10" spans="1:15">
      <c r="A10" s="104" t="s">
        <v>87</v>
      </c>
      <c r="B10" s="105"/>
      <c r="C10" s="105"/>
      <c r="D10" s="389"/>
      <c r="E10" s="105"/>
      <c r="F10" s="106"/>
      <c r="G10" s="105"/>
      <c r="H10" s="111">
        <f t="shared" si="0"/>
        <v>8160698</v>
      </c>
      <c r="I10" s="111">
        <f t="shared" si="0"/>
        <v>15550</v>
      </c>
      <c r="K10" s="162" t="s">
        <v>1019</v>
      </c>
      <c r="N10" s="502">
        <v>1126000</v>
      </c>
      <c r="O10" s="502">
        <v>2168.090820092149</v>
      </c>
    </row>
    <row r="11" spans="1:15">
      <c r="A11" s="107" t="s">
        <v>88</v>
      </c>
      <c r="B11" s="105"/>
      <c r="C11" s="105"/>
      <c r="D11" s="389"/>
      <c r="E11" s="105"/>
      <c r="F11" s="106"/>
      <c r="G11" s="105"/>
      <c r="H11" s="111">
        <f t="shared" si="0"/>
        <v>8160698</v>
      </c>
      <c r="I11" s="111">
        <f t="shared" si="0"/>
        <v>15550</v>
      </c>
      <c r="J11" s="160"/>
      <c r="K11" s="141" t="s">
        <v>185</v>
      </c>
      <c r="N11" s="502">
        <v>3210317</v>
      </c>
      <c r="O11" s="502">
        <v>6026.2899516669549</v>
      </c>
    </row>
    <row r="12" spans="1:15">
      <c r="A12" s="104" t="s">
        <v>89</v>
      </c>
      <c r="B12" s="105"/>
      <c r="C12" s="105"/>
      <c r="D12" s="389"/>
      <c r="E12" s="105"/>
      <c r="F12" s="106"/>
      <c r="G12" s="105"/>
      <c r="H12" s="111">
        <f t="shared" si="0"/>
        <v>8160698</v>
      </c>
      <c r="I12" s="111">
        <f t="shared" si="0"/>
        <v>15550</v>
      </c>
      <c r="K12" s="162" t="s">
        <v>1021</v>
      </c>
      <c r="N12" s="502">
        <v>1311000</v>
      </c>
      <c r="O12" s="502">
        <v>2460.9613713023914</v>
      </c>
    </row>
    <row r="13" spans="1:15">
      <c r="A13" s="104" t="s">
        <v>90</v>
      </c>
      <c r="B13" s="105"/>
      <c r="C13" s="105"/>
      <c r="D13" s="389"/>
      <c r="E13" s="105"/>
      <c r="F13" s="106"/>
      <c r="G13" s="105"/>
      <c r="H13" s="111">
        <f t="shared" si="0"/>
        <v>8160698</v>
      </c>
      <c r="I13" s="111">
        <f t="shared" si="0"/>
        <v>15550</v>
      </c>
      <c r="K13" s="162" t="s">
        <v>1019</v>
      </c>
      <c r="N13" s="502">
        <v>1899317</v>
      </c>
      <c r="O13" s="502">
        <v>3565.328580364564</v>
      </c>
    </row>
    <row r="14" spans="1:15">
      <c r="A14" s="114" t="s">
        <v>91</v>
      </c>
      <c r="B14" s="105"/>
      <c r="C14" s="105"/>
      <c r="D14" s="389"/>
      <c r="E14" s="105"/>
      <c r="F14" s="106"/>
      <c r="G14" s="105"/>
      <c r="H14" s="111">
        <f t="shared" si="0"/>
        <v>8160698</v>
      </c>
      <c r="I14" s="111">
        <f t="shared" si="0"/>
        <v>15550</v>
      </c>
      <c r="J14" s="160"/>
      <c r="K14" s="141" t="s">
        <v>1022</v>
      </c>
      <c r="L14" s="502">
        <v>40285287</v>
      </c>
      <c r="M14" s="502">
        <v>75550</v>
      </c>
      <c r="N14" s="502">
        <v>27828436</v>
      </c>
      <c r="O14" s="502">
        <v>52120.89717807361</v>
      </c>
    </row>
    <row r="15" spans="1:15">
      <c r="A15" s="101" t="s">
        <v>185</v>
      </c>
      <c r="B15" s="102">
        <v>3206295</v>
      </c>
      <c r="C15" s="103">
        <v>6018.74</v>
      </c>
      <c r="D15" s="387">
        <f>SUM(D16:D27)</f>
        <v>0</v>
      </c>
      <c r="E15" s="103">
        <f>SUM(E16:E27)</f>
        <v>0</v>
      </c>
      <c r="F15" s="103">
        <f>SUM(F16:F27)</f>
        <v>3210317</v>
      </c>
      <c r="G15" s="103">
        <f>SUM(G16:G27)</f>
        <v>6026.2899516669549</v>
      </c>
      <c r="H15" s="103">
        <f>B15+D15-F15</f>
        <v>-4022</v>
      </c>
      <c r="I15" s="103">
        <f>C15+E15-G15</f>
        <v>-7.5499516669551667</v>
      </c>
      <c r="J15" s="157">
        <f>B15/C15</f>
        <v>532.71864210781655</v>
      </c>
    </row>
    <row r="16" spans="1:15">
      <c r="A16" s="112" t="s">
        <v>80</v>
      </c>
      <c r="B16" s="205"/>
      <c r="C16" s="111"/>
      <c r="D16" s="388"/>
      <c r="E16" s="205"/>
      <c r="F16" s="204">
        <f>GETPIVOTDATA("Somme de Spent  in XAF",$K$2,"Donor","Dahan","Mois",1)</f>
        <v>1311000</v>
      </c>
      <c r="G16" s="205">
        <f>GETPIVOTDATA("Somme de Spent in $",$K$2,"Donor","Dahan","Mois",1)</f>
        <v>2460.9613713023914</v>
      </c>
      <c r="H16" s="111">
        <f>B15+D16-F16</f>
        <v>1895295</v>
      </c>
      <c r="I16" s="111">
        <f>C15+E16-G16</f>
        <v>3557.7786286976084</v>
      </c>
    </row>
    <row r="17" spans="1:10">
      <c r="A17" s="112" t="s">
        <v>81</v>
      </c>
      <c r="B17" s="205"/>
      <c r="C17" s="111"/>
      <c r="D17" s="388"/>
      <c r="E17" s="205"/>
      <c r="F17" s="204">
        <f>GETPIVOTDATA("Somme de Spent  in XAF",$K$2,"Donor","Dahan","Mois",2)</f>
        <v>1899317</v>
      </c>
      <c r="G17" s="205">
        <f>GETPIVOTDATA("Somme de Spent in $",$K$2,"Donor","Dahan","Mois",2)</f>
        <v>3565.328580364564</v>
      </c>
      <c r="H17" s="111">
        <f>H16+D17-F17</f>
        <v>-4022</v>
      </c>
      <c r="I17" s="111">
        <f>I16+E17-G17</f>
        <v>-7.5499516669556215</v>
      </c>
    </row>
    <row r="18" spans="1:10">
      <c r="A18" s="113" t="s">
        <v>82</v>
      </c>
      <c r="B18" s="205"/>
      <c r="C18" s="205"/>
      <c r="D18" s="390"/>
      <c r="E18" s="205"/>
      <c r="F18" s="371"/>
      <c r="G18" s="205"/>
      <c r="H18" s="111">
        <f t="shared" ref="H18:I27" si="1">H17+D18-F18</f>
        <v>-4022</v>
      </c>
      <c r="I18" s="111">
        <f t="shared" si="1"/>
        <v>-7.5499516669556215</v>
      </c>
    </row>
    <row r="19" spans="1:10">
      <c r="A19" s="112" t="s">
        <v>83</v>
      </c>
      <c r="B19" s="205"/>
      <c r="C19" s="205"/>
      <c r="D19" s="390"/>
      <c r="E19" s="205"/>
      <c r="F19" s="371"/>
      <c r="G19" s="205"/>
      <c r="H19" s="111">
        <f t="shared" si="1"/>
        <v>-4022</v>
      </c>
      <c r="I19" s="111">
        <f t="shared" si="1"/>
        <v>-7.5499516669556215</v>
      </c>
    </row>
    <row r="20" spans="1:10">
      <c r="A20" s="113" t="s">
        <v>84</v>
      </c>
      <c r="B20" s="205"/>
      <c r="C20" s="205"/>
      <c r="D20" s="390"/>
      <c r="E20" s="205"/>
      <c r="F20" s="371"/>
      <c r="G20" s="205"/>
      <c r="H20" s="111">
        <f t="shared" si="1"/>
        <v>-4022</v>
      </c>
      <c r="I20" s="111">
        <f t="shared" si="1"/>
        <v>-7.5499516669556215</v>
      </c>
    </row>
    <row r="21" spans="1:10">
      <c r="A21" s="104" t="s">
        <v>85</v>
      </c>
      <c r="B21" s="205"/>
      <c r="C21" s="205"/>
      <c r="D21" s="390"/>
      <c r="E21" s="205"/>
      <c r="F21" s="371"/>
      <c r="G21" s="205"/>
      <c r="H21" s="111">
        <f t="shared" si="1"/>
        <v>-4022</v>
      </c>
      <c r="I21" s="111">
        <f t="shared" si="1"/>
        <v>-7.5499516669556215</v>
      </c>
    </row>
    <row r="22" spans="1:10">
      <c r="A22" s="104" t="s">
        <v>86</v>
      </c>
      <c r="B22" s="205"/>
      <c r="C22" s="205"/>
      <c r="D22" s="390"/>
      <c r="E22" s="205"/>
      <c r="F22" s="371"/>
      <c r="G22" s="205"/>
      <c r="H22" s="111">
        <f t="shared" si="1"/>
        <v>-4022</v>
      </c>
      <c r="I22" s="111">
        <f t="shared" si="1"/>
        <v>-7.5499516669556215</v>
      </c>
    </row>
    <row r="23" spans="1:10">
      <c r="A23" s="104" t="s">
        <v>87</v>
      </c>
      <c r="B23" s="205"/>
      <c r="C23" s="205"/>
      <c r="D23" s="390"/>
      <c r="E23" s="205"/>
      <c r="F23" s="371"/>
      <c r="G23" s="205"/>
      <c r="H23" s="111">
        <f t="shared" si="1"/>
        <v>-4022</v>
      </c>
      <c r="I23" s="111">
        <f t="shared" si="1"/>
        <v>-7.5499516669556215</v>
      </c>
    </row>
    <row r="24" spans="1:10">
      <c r="A24" s="107" t="s">
        <v>88</v>
      </c>
      <c r="B24" s="205"/>
      <c r="C24" s="205"/>
      <c r="D24" s="390"/>
      <c r="E24" s="205"/>
      <c r="F24" s="371"/>
      <c r="G24" s="205"/>
      <c r="H24" s="111">
        <f t="shared" si="1"/>
        <v>-4022</v>
      </c>
      <c r="I24" s="111">
        <f t="shared" si="1"/>
        <v>-7.5499516669556215</v>
      </c>
      <c r="J24" s="160"/>
    </row>
    <row r="25" spans="1:10">
      <c r="A25" s="104" t="s">
        <v>89</v>
      </c>
      <c r="B25" s="205"/>
      <c r="C25" s="205"/>
      <c r="D25" s="390"/>
      <c r="E25" s="205"/>
      <c r="F25" s="371"/>
      <c r="G25" s="205"/>
      <c r="H25" s="111">
        <f t="shared" si="1"/>
        <v>-4022</v>
      </c>
      <c r="I25" s="111">
        <f t="shared" si="1"/>
        <v>-7.5499516669556215</v>
      </c>
    </row>
    <row r="26" spans="1:10">
      <c r="A26" s="104" t="s">
        <v>90</v>
      </c>
      <c r="B26" s="205"/>
      <c r="C26" s="205"/>
      <c r="D26" s="390"/>
      <c r="E26" s="205"/>
      <c r="F26" s="371"/>
      <c r="G26" s="205"/>
      <c r="H26" s="111">
        <f t="shared" si="1"/>
        <v>-4022</v>
      </c>
      <c r="I26" s="111">
        <f t="shared" si="1"/>
        <v>-7.5499516669556215</v>
      </c>
    </row>
    <row r="27" spans="1:10">
      <c r="A27" s="114" t="s">
        <v>91</v>
      </c>
      <c r="B27" s="372"/>
      <c r="C27" s="372"/>
      <c r="D27" s="391"/>
      <c r="E27" s="372"/>
      <c r="F27" s="373"/>
      <c r="G27" s="372"/>
      <c r="H27" s="111">
        <f t="shared" si="1"/>
        <v>-4022</v>
      </c>
      <c r="I27" s="111">
        <f t="shared" si="1"/>
        <v>-7.5499516669556215</v>
      </c>
      <c r="J27" s="160"/>
    </row>
    <row r="28" spans="1:10">
      <c r="A28" s="101" t="s">
        <v>344</v>
      </c>
      <c r="B28" s="102">
        <v>1661923</v>
      </c>
      <c r="C28" s="103">
        <v>3200</v>
      </c>
      <c r="D28" s="387">
        <f>SUM(D29:D40)</f>
        <v>0</v>
      </c>
      <c r="E28" s="103">
        <f>SUM(E29:E40)</f>
        <v>0</v>
      </c>
      <c r="F28" s="103">
        <f>SUM(F29:F40)</f>
        <v>1661517</v>
      </c>
      <c r="G28" s="103">
        <f>SUM(G29:G40)</f>
        <v>3199.2182549973772</v>
      </c>
      <c r="H28" s="103">
        <f>B28+D28-F28</f>
        <v>406</v>
      </c>
      <c r="I28" s="103">
        <f>C28+E28-G28</f>
        <v>0.78174500262275615</v>
      </c>
      <c r="J28" s="157">
        <f>B28/C28</f>
        <v>519.35093749999999</v>
      </c>
    </row>
    <row r="29" spans="1:10">
      <c r="A29" s="112" t="s">
        <v>80</v>
      </c>
      <c r="B29" s="205"/>
      <c r="C29" s="111"/>
      <c r="D29" s="388"/>
      <c r="E29" s="205"/>
      <c r="F29" s="204">
        <f>GETPIVOTDATA("Somme de Spent  in XAF",$K$2,"Donor","AWI 2025","Mois",1)</f>
        <v>535517</v>
      </c>
      <c r="G29" s="205">
        <f>GETPIVOTDATA("Somme de Spent in $",$K$2,"Donor","AWI 2025","Mois",1)</f>
        <v>1031.1274349052283</v>
      </c>
      <c r="H29" s="111">
        <f>B28+D29-F29</f>
        <v>1126406</v>
      </c>
      <c r="I29" s="111">
        <f>C28+E29-G29</f>
        <v>2168.8725650947717</v>
      </c>
    </row>
    <row r="30" spans="1:10">
      <c r="A30" s="112" t="s">
        <v>81</v>
      </c>
      <c r="B30" s="205"/>
      <c r="C30" s="111"/>
      <c r="D30" s="388"/>
      <c r="E30" s="205"/>
      <c r="F30" s="204">
        <f>GETPIVOTDATA("Somme de Spent  in XAF",$K$2,"Donor","AWI 2025","Mois",2)</f>
        <v>1126000</v>
      </c>
      <c r="G30" s="205">
        <f>GETPIVOTDATA("Somme de Spent in $",$K$2,"Donor","AWI 2025","Mois",2)</f>
        <v>2168.090820092149</v>
      </c>
      <c r="H30" s="111">
        <f>H29+D30-F30</f>
        <v>406</v>
      </c>
      <c r="I30" s="111">
        <f>I29+E30-G30</f>
        <v>0.78174500262275615</v>
      </c>
    </row>
    <row r="31" spans="1:10">
      <c r="A31" s="113" t="s">
        <v>82</v>
      </c>
      <c r="B31" s="205"/>
      <c r="C31" s="205"/>
      <c r="D31" s="390"/>
      <c r="E31" s="205"/>
      <c r="F31" s="371"/>
      <c r="G31" s="205"/>
      <c r="H31" s="111">
        <f t="shared" ref="H31:I46" si="2">H30+D31-F31</f>
        <v>406</v>
      </c>
      <c r="I31" s="111">
        <f t="shared" si="2"/>
        <v>0.78174500262275615</v>
      </c>
    </row>
    <row r="32" spans="1:10">
      <c r="A32" s="112" t="s">
        <v>83</v>
      </c>
      <c r="B32" s="205"/>
      <c r="C32" s="205"/>
      <c r="D32" s="390"/>
      <c r="E32" s="205"/>
      <c r="F32" s="371"/>
      <c r="G32" s="205"/>
      <c r="H32" s="111">
        <f t="shared" si="2"/>
        <v>406</v>
      </c>
      <c r="I32" s="111">
        <f t="shared" si="2"/>
        <v>0.78174500262275615</v>
      </c>
    </row>
    <row r="33" spans="1:10">
      <c r="A33" s="113" t="s">
        <v>84</v>
      </c>
      <c r="B33" s="205"/>
      <c r="C33" s="205"/>
      <c r="D33" s="390"/>
      <c r="E33" s="205"/>
      <c r="F33" s="371"/>
      <c r="G33" s="205"/>
      <c r="H33" s="111">
        <f t="shared" si="2"/>
        <v>406</v>
      </c>
      <c r="I33" s="111">
        <f t="shared" si="2"/>
        <v>0.78174500262275615</v>
      </c>
    </row>
    <row r="34" spans="1:10">
      <c r="A34" s="104" t="s">
        <v>85</v>
      </c>
      <c r="B34" s="205"/>
      <c r="C34" s="205"/>
      <c r="D34" s="390"/>
      <c r="E34" s="205"/>
      <c r="F34" s="371"/>
      <c r="G34" s="205"/>
      <c r="H34" s="111">
        <f t="shared" si="2"/>
        <v>406</v>
      </c>
      <c r="I34" s="111">
        <f t="shared" si="2"/>
        <v>0.78174500262275615</v>
      </c>
    </row>
    <row r="35" spans="1:10">
      <c r="A35" s="104" t="s">
        <v>86</v>
      </c>
      <c r="B35" s="205"/>
      <c r="C35" s="205"/>
      <c r="D35" s="390"/>
      <c r="E35" s="205"/>
      <c r="F35" s="371"/>
      <c r="G35" s="205"/>
      <c r="H35" s="111">
        <f t="shared" si="2"/>
        <v>406</v>
      </c>
      <c r="I35" s="111">
        <f t="shared" si="2"/>
        <v>0.78174500262275615</v>
      </c>
    </row>
    <row r="36" spans="1:10">
      <c r="A36" s="104" t="s">
        <v>87</v>
      </c>
      <c r="B36" s="205"/>
      <c r="C36" s="205"/>
      <c r="D36" s="390"/>
      <c r="E36" s="205"/>
      <c r="F36" s="371"/>
      <c r="G36" s="205"/>
      <c r="H36" s="111">
        <f t="shared" si="2"/>
        <v>406</v>
      </c>
      <c r="I36" s="111">
        <f t="shared" si="2"/>
        <v>0.78174500262275615</v>
      </c>
    </row>
    <row r="37" spans="1:10">
      <c r="A37" s="107" t="s">
        <v>88</v>
      </c>
      <c r="B37" s="205"/>
      <c r="C37" s="205"/>
      <c r="D37" s="390"/>
      <c r="E37" s="205"/>
      <c r="F37" s="371"/>
      <c r="G37" s="205"/>
      <c r="H37" s="111">
        <f t="shared" si="2"/>
        <v>406</v>
      </c>
      <c r="I37" s="111">
        <f t="shared" si="2"/>
        <v>0.78174500262275615</v>
      </c>
      <c r="J37" s="160"/>
    </row>
    <row r="38" spans="1:10">
      <c r="A38" s="104" t="s">
        <v>89</v>
      </c>
      <c r="B38" s="205"/>
      <c r="C38" s="205"/>
      <c r="D38" s="390"/>
      <c r="E38" s="205"/>
      <c r="F38" s="371"/>
      <c r="G38" s="205"/>
      <c r="H38" s="111">
        <f t="shared" si="2"/>
        <v>406</v>
      </c>
      <c r="I38" s="111">
        <f t="shared" si="2"/>
        <v>0.78174500262275615</v>
      </c>
    </row>
    <row r="39" spans="1:10">
      <c r="A39" s="104" t="s">
        <v>90</v>
      </c>
      <c r="B39" s="205"/>
      <c r="C39" s="205"/>
      <c r="D39" s="390"/>
      <c r="E39" s="205"/>
      <c r="F39" s="371"/>
      <c r="G39" s="205"/>
      <c r="H39" s="111">
        <f t="shared" si="2"/>
        <v>406</v>
      </c>
      <c r="I39" s="111">
        <f t="shared" si="2"/>
        <v>0.78174500262275615</v>
      </c>
    </row>
    <row r="40" spans="1:10">
      <c r="A40" s="114" t="s">
        <v>91</v>
      </c>
      <c r="B40" s="115"/>
      <c r="C40" s="115"/>
      <c r="D40" s="392"/>
      <c r="E40" s="115"/>
      <c r="F40" s="116"/>
      <c r="G40" s="115"/>
      <c r="H40" s="111">
        <f t="shared" si="2"/>
        <v>406</v>
      </c>
      <c r="I40" s="111">
        <f t="shared" si="2"/>
        <v>0.78174500262275615</v>
      </c>
    </row>
    <row r="41" spans="1:10">
      <c r="A41" s="101" t="s">
        <v>195</v>
      </c>
      <c r="B41" s="102">
        <f>C41*J41</f>
        <v>2867999.8202750003</v>
      </c>
      <c r="C41" s="103">
        <v>5299.31</v>
      </c>
      <c r="D41" s="387">
        <f>SUM(D42:D53)</f>
        <v>0</v>
      </c>
      <c r="E41" s="103">
        <f>SUM(E42:E53)</f>
        <v>0</v>
      </c>
      <c r="F41" s="103">
        <f>SUM(F42:F53)</f>
        <v>0</v>
      </c>
      <c r="G41" s="103">
        <f>SUM(G42:G53)</f>
        <v>0</v>
      </c>
      <c r="H41" s="103">
        <f>B41+D41-F41</f>
        <v>2867999.8202750003</v>
      </c>
      <c r="I41" s="103">
        <f>C41+E41-G41</f>
        <v>5299.31</v>
      </c>
      <c r="J41">
        <v>541.20249999999999</v>
      </c>
    </row>
    <row r="42" spans="1:10">
      <c r="A42" s="112" t="s">
        <v>80</v>
      </c>
      <c r="B42" s="108"/>
      <c r="C42" s="109"/>
      <c r="D42" s="393"/>
      <c r="E42" s="108"/>
      <c r="F42" s="110"/>
      <c r="G42" s="108"/>
      <c r="H42" s="111">
        <f>H41+D42-F42</f>
        <v>2867999.8202750003</v>
      </c>
      <c r="I42" s="111">
        <f>C41+E42-G42</f>
        <v>5299.31</v>
      </c>
    </row>
    <row r="43" spans="1:10">
      <c r="A43" s="112" t="s">
        <v>81</v>
      </c>
      <c r="B43" s="108"/>
      <c r="C43" s="109"/>
      <c r="D43" s="393"/>
      <c r="E43" s="108"/>
      <c r="F43" s="204"/>
      <c r="G43" s="205"/>
      <c r="H43" s="111">
        <f t="shared" si="2"/>
        <v>2867999.8202750003</v>
      </c>
      <c r="I43" s="111">
        <f t="shared" ref="I43:I53" si="3">C42+E43-G43</f>
        <v>0</v>
      </c>
    </row>
    <row r="44" spans="1:10">
      <c r="A44" s="113" t="s">
        <v>82</v>
      </c>
      <c r="B44" s="105"/>
      <c r="C44" s="105"/>
      <c r="D44" s="389"/>
      <c r="E44" s="105"/>
      <c r="F44" s="204"/>
      <c r="G44" s="105"/>
      <c r="H44" s="111">
        <f t="shared" si="2"/>
        <v>2867999.8202750003</v>
      </c>
      <c r="I44" s="111">
        <f t="shared" si="3"/>
        <v>0</v>
      </c>
    </row>
    <row r="45" spans="1:10">
      <c r="A45" s="112" t="s">
        <v>83</v>
      </c>
      <c r="B45" s="105"/>
      <c r="C45" s="105"/>
      <c r="D45" s="389"/>
      <c r="E45" s="105"/>
      <c r="F45" s="204"/>
      <c r="G45" s="105"/>
      <c r="H45" s="111">
        <f t="shared" si="2"/>
        <v>2867999.8202750003</v>
      </c>
      <c r="I45" s="111">
        <f t="shared" si="3"/>
        <v>0</v>
      </c>
    </row>
    <row r="46" spans="1:10">
      <c r="A46" s="113" t="s">
        <v>84</v>
      </c>
      <c r="B46" s="105"/>
      <c r="C46" s="105"/>
      <c r="D46" s="389"/>
      <c r="E46" s="105"/>
      <c r="F46" s="106"/>
      <c r="G46" s="105"/>
      <c r="H46" s="111">
        <f t="shared" si="2"/>
        <v>2867999.8202750003</v>
      </c>
      <c r="I46" s="111">
        <f t="shared" si="3"/>
        <v>0</v>
      </c>
    </row>
    <row r="47" spans="1:10">
      <c r="A47" s="104" t="s">
        <v>85</v>
      </c>
      <c r="B47" s="105"/>
      <c r="C47" s="105"/>
      <c r="D47" s="389"/>
      <c r="E47" s="105"/>
      <c r="F47" s="106"/>
      <c r="G47" s="105"/>
      <c r="H47" s="111">
        <f t="shared" ref="H47:H53" si="4">H46+D47-F47</f>
        <v>2867999.8202750003</v>
      </c>
      <c r="I47" s="111">
        <f t="shared" si="3"/>
        <v>0</v>
      </c>
    </row>
    <row r="48" spans="1:10">
      <c r="A48" s="104" t="s">
        <v>86</v>
      </c>
      <c r="B48" s="105"/>
      <c r="C48" s="105"/>
      <c r="D48" s="389"/>
      <c r="E48" s="105"/>
      <c r="F48" s="106"/>
      <c r="G48" s="105"/>
      <c r="H48" s="111">
        <f t="shared" si="4"/>
        <v>2867999.8202750003</v>
      </c>
      <c r="I48" s="111">
        <f t="shared" si="3"/>
        <v>0</v>
      </c>
    </row>
    <row r="49" spans="1:10">
      <c r="A49" s="104" t="s">
        <v>87</v>
      </c>
      <c r="B49" s="105"/>
      <c r="C49" s="105"/>
      <c r="D49" s="389"/>
      <c r="E49" s="105"/>
      <c r="F49" s="106"/>
      <c r="G49" s="105"/>
      <c r="H49" s="111">
        <f t="shared" si="4"/>
        <v>2867999.8202750003</v>
      </c>
      <c r="I49" s="111">
        <f t="shared" si="3"/>
        <v>0</v>
      </c>
    </row>
    <row r="50" spans="1:10">
      <c r="A50" s="107" t="s">
        <v>88</v>
      </c>
      <c r="B50" s="105"/>
      <c r="C50" s="105"/>
      <c r="D50" s="389"/>
      <c r="E50" s="105"/>
      <c r="F50" s="106"/>
      <c r="G50" s="105"/>
      <c r="H50" s="111">
        <f t="shared" si="4"/>
        <v>2867999.8202750003</v>
      </c>
      <c r="I50" s="111">
        <f t="shared" si="3"/>
        <v>0</v>
      </c>
    </row>
    <row r="51" spans="1:10">
      <c r="A51" s="104" t="s">
        <v>89</v>
      </c>
      <c r="B51" s="105"/>
      <c r="C51" s="105"/>
      <c r="D51" s="389"/>
      <c r="E51" s="105"/>
      <c r="F51" s="106"/>
      <c r="G51" s="105"/>
      <c r="H51" s="111">
        <f t="shared" si="4"/>
        <v>2867999.8202750003</v>
      </c>
      <c r="I51" s="111">
        <f t="shared" si="3"/>
        <v>0</v>
      </c>
    </row>
    <row r="52" spans="1:10">
      <c r="A52" s="104" t="s">
        <v>90</v>
      </c>
      <c r="B52" s="105"/>
      <c r="C52" s="105"/>
      <c r="D52" s="389"/>
      <c r="E52" s="105"/>
      <c r="F52" s="106"/>
      <c r="G52" s="105"/>
      <c r="H52" s="111">
        <f t="shared" si="4"/>
        <v>2867999.8202750003</v>
      </c>
      <c r="I52" s="111">
        <f t="shared" si="3"/>
        <v>0</v>
      </c>
    </row>
    <row r="53" spans="1:10">
      <c r="A53" s="114" t="s">
        <v>91</v>
      </c>
      <c r="B53" s="115"/>
      <c r="C53" s="115"/>
      <c r="D53" s="392"/>
      <c r="E53" s="115"/>
      <c r="F53" s="116"/>
      <c r="G53" s="115"/>
      <c r="H53" s="111">
        <f t="shared" si="4"/>
        <v>2867999.8202750003</v>
      </c>
      <c r="I53" s="111">
        <f t="shared" si="3"/>
        <v>0</v>
      </c>
    </row>
    <row r="54" spans="1:10">
      <c r="A54" s="384" t="s">
        <v>347</v>
      </c>
      <c r="B54" s="385">
        <f>C54*J54</f>
        <v>3247215</v>
      </c>
      <c r="C54" s="385">
        <v>6000</v>
      </c>
      <c r="D54" s="394">
        <f>SUM(D55:D66)</f>
        <v>0</v>
      </c>
      <c r="E54" s="385">
        <f t="shared" ref="E54:G54" si="5">SUM(E55:E66)</f>
        <v>0</v>
      </c>
      <c r="F54" s="385">
        <f t="shared" si="5"/>
        <v>0</v>
      </c>
      <c r="G54" s="385">
        <f t="shared" si="5"/>
        <v>0</v>
      </c>
      <c r="H54" s="103">
        <f>B54+D54-F54</f>
        <v>3247215</v>
      </c>
      <c r="I54" s="103">
        <f>C54+E54-G54</f>
        <v>6000</v>
      </c>
      <c r="J54">
        <v>541.20249999999999</v>
      </c>
    </row>
    <row r="55" spans="1:10">
      <c r="A55" s="112" t="s">
        <v>80</v>
      </c>
      <c r="B55" s="115"/>
      <c r="C55" s="115"/>
      <c r="D55" s="392"/>
      <c r="E55" s="115"/>
      <c r="F55" s="116"/>
      <c r="G55" s="115"/>
      <c r="H55" s="111">
        <f>B54+D55-F55</f>
        <v>3247215</v>
      </c>
      <c r="I55" s="111">
        <f>C54+E55-G55</f>
        <v>6000</v>
      </c>
    </row>
    <row r="56" spans="1:10">
      <c r="A56" s="112" t="s">
        <v>81</v>
      </c>
      <c r="B56" s="115"/>
      <c r="C56" s="115"/>
      <c r="D56" s="392"/>
      <c r="E56" s="115"/>
      <c r="F56" s="116"/>
      <c r="G56" s="115"/>
      <c r="H56" s="111">
        <f>H55+D56-F56</f>
        <v>3247215</v>
      </c>
      <c r="I56" s="111">
        <f>I55+E56-G56</f>
        <v>6000</v>
      </c>
    </row>
    <row r="57" spans="1:10">
      <c r="A57" s="113" t="s">
        <v>82</v>
      </c>
      <c r="B57" s="115"/>
      <c r="C57" s="115"/>
      <c r="D57" s="392"/>
      <c r="E57" s="115"/>
      <c r="F57" s="116"/>
      <c r="G57" s="115"/>
      <c r="H57" s="111">
        <f t="shared" ref="H57:H66" si="6">H56+D57-F57</f>
        <v>3247215</v>
      </c>
      <c r="I57" s="111">
        <f t="shared" ref="I57:I66" si="7">I56+E57-G57</f>
        <v>6000</v>
      </c>
    </row>
    <row r="58" spans="1:10">
      <c r="A58" s="112" t="s">
        <v>83</v>
      </c>
      <c r="B58" s="115"/>
      <c r="C58" s="115"/>
      <c r="D58" s="392"/>
      <c r="E58" s="115"/>
      <c r="F58" s="116"/>
      <c r="G58" s="115"/>
      <c r="H58" s="111">
        <f t="shared" si="6"/>
        <v>3247215</v>
      </c>
      <c r="I58" s="111">
        <f t="shared" si="7"/>
        <v>6000</v>
      </c>
    </row>
    <row r="59" spans="1:10">
      <c r="A59" s="113" t="s">
        <v>84</v>
      </c>
      <c r="B59" s="115"/>
      <c r="C59" s="115"/>
      <c r="D59" s="392"/>
      <c r="E59" s="115"/>
      <c r="F59" s="116"/>
      <c r="G59" s="115"/>
      <c r="H59" s="111">
        <f t="shared" si="6"/>
        <v>3247215</v>
      </c>
      <c r="I59" s="111">
        <f t="shared" si="7"/>
        <v>6000</v>
      </c>
    </row>
    <row r="60" spans="1:10">
      <c r="A60" s="104" t="s">
        <v>85</v>
      </c>
      <c r="B60" s="115"/>
      <c r="C60" s="115"/>
      <c r="D60" s="392"/>
      <c r="E60" s="115"/>
      <c r="F60" s="116"/>
      <c r="G60" s="115"/>
      <c r="H60" s="111">
        <f t="shared" si="6"/>
        <v>3247215</v>
      </c>
      <c r="I60" s="111">
        <f t="shared" si="7"/>
        <v>6000</v>
      </c>
    </row>
    <row r="61" spans="1:10">
      <c r="A61" s="104" t="s">
        <v>86</v>
      </c>
      <c r="B61" s="115"/>
      <c r="C61" s="115"/>
      <c r="D61" s="392"/>
      <c r="E61" s="115"/>
      <c r="F61" s="116"/>
      <c r="G61" s="115"/>
      <c r="H61" s="111">
        <f t="shared" si="6"/>
        <v>3247215</v>
      </c>
      <c r="I61" s="111">
        <f t="shared" si="7"/>
        <v>6000</v>
      </c>
    </row>
    <row r="62" spans="1:10">
      <c r="A62" s="104" t="s">
        <v>87</v>
      </c>
      <c r="B62" s="115"/>
      <c r="C62" s="115"/>
      <c r="D62" s="392"/>
      <c r="E62" s="115"/>
      <c r="F62" s="116"/>
      <c r="G62" s="115"/>
      <c r="H62" s="111">
        <f t="shared" si="6"/>
        <v>3247215</v>
      </c>
      <c r="I62" s="111">
        <f t="shared" si="7"/>
        <v>6000</v>
      </c>
    </row>
    <row r="63" spans="1:10">
      <c r="A63" s="107" t="s">
        <v>88</v>
      </c>
      <c r="B63" s="115"/>
      <c r="C63" s="115"/>
      <c r="D63" s="392"/>
      <c r="E63" s="115"/>
      <c r="F63" s="116"/>
      <c r="G63" s="115"/>
      <c r="H63" s="111">
        <f t="shared" si="6"/>
        <v>3247215</v>
      </c>
      <c r="I63" s="111">
        <f t="shared" si="7"/>
        <v>6000</v>
      </c>
    </row>
    <row r="64" spans="1:10">
      <c r="A64" s="104" t="s">
        <v>89</v>
      </c>
      <c r="B64" s="115"/>
      <c r="C64" s="115"/>
      <c r="D64" s="392"/>
      <c r="E64" s="115"/>
      <c r="F64" s="116"/>
      <c r="G64" s="115"/>
      <c r="H64" s="111">
        <f t="shared" si="6"/>
        <v>3247215</v>
      </c>
      <c r="I64" s="111">
        <f t="shared" si="7"/>
        <v>6000</v>
      </c>
    </row>
    <row r="65" spans="1:10">
      <c r="A65" s="104" t="s">
        <v>90</v>
      </c>
      <c r="B65" s="115"/>
      <c r="C65" s="115"/>
      <c r="D65" s="392"/>
      <c r="E65" s="115"/>
      <c r="F65" s="116"/>
      <c r="G65" s="115"/>
      <c r="H65" s="111">
        <f t="shared" si="6"/>
        <v>3247215</v>
      </c>
      <c r="I65" s="111">
        <f t="shared" si="7"/>
        <v>6000</v>
      </c>
    </row>
    <row r="66" spans="1:10">
      <c r="A66" s="114" t="s">
        <v>91</v>
      </c>
      <c r="B66" s="115"/>
      <c r="C66" s="115"/>
      <c r="D66" s="392"/>
      <c r="E66" s="115"/>
      <c r="F66" s="116"/>
      <c r="G66" s="115"/>
      <c r="H66" s="111">
        <f t="shared" si="6"/>
        <v>3247215</v>
      </c>
      <c r="I66" s="111">
        <f t="shared" si="7"/>
        <v>6000</v>
      </c>
    </row>
    <row r="67" spans="1:10">
      <c r="A67" s="101" t="s">
        <v>345</v>
      </c>
      <c r="B67" s="102"/>
      <c r="C67" s="103"/>
      <c r="D67" s="387">
        <f>SUM(D68:D79)</f>
        <v>32124589</v>
      </c>
      <c r="E67" s="103">
        <f>SUM(E68:E79)</f>
        <v>60000</v>
      </c>
      <c r="F67" s="103">
        <f>SUM(F68:F79)</f>
        <v>22956602</v>
      </c>
      <c r="G67" s="103">
        <f>SUM(G68:G79)</f>
        <v>42895.38897140928</v>
      </c>
      <c r="H67" s="103">
        <f>B67+D67-F67</f>
        <v>9167987</v>
      </c>
      <c r="I67" s="103">
        <f>C67+E67-G67</f>
        <v>17104.61102859072</v>
      </c>
    </row>
    <row r="68" spans="1:10">
      <c r="A68" s="112" t="s">
        <v>80</v>
      </c>
      <c r="B68" s="108"/>
      <c r="C68" s="109"/>
      <c r="D68" s="393"/>
      <c r="E68" s="108"/>
      <c r="F68" s="110"/>
      <c r="G68" s="108"/>
      <c r="H68" s="111">
        <f>D68-F68</f>
        <v>0</v>
      </c>
      <c r="I68" s="111">
        <f>C67+E68-G68</f>
        <v>0</v>
      </c>
    </row>
    <row r="69" spans="1:10">
      <c r="A69" s="112" t="s">
        <v>81</v>
      </c>
      <c r="B69" s="108"/>
      <c r="C69" s="109"/>
      <c r="D69" s="393"/>
      <c r="E69" s="108"/>
      <c r="F69" s="204">
        <f>GETPIVOTDATA("Somme de Spent  in XAF",$K$2,"Donor","Aspinall","Mois",2)</f>
        <v>3747572</v>
      </c>
      <c r="G69" s="205">
        <f>GETPIVOTDATA("Somme de Spent in $",$K$2,"Donor","Aspinall","Mois",2)</f>
        <v>6999.4460318059164</v>
      </c>
      <c r="H69" s="111">
        <f t="shared" ref="H69:H79" si="8">H68+D69-F69</f>
        <v>-3747572</v>
      </c>
      <c r="I69" s="111">
        <f t="shared" ref="I69" si="9">C68+E69-G69</f>
        <v>-6999.4460318059164</v>
      </c>
    </row>
    <row r="70" spans="1:10">
      <c r="A70" s="113" t="s">
        <v>82</v>
      </c>
      <c r="B70" s="105"/>
      <c r="C70" s="105"/>
      <c r="D70" s="397">
        <v>32124589</v>
      </c>
      <c r="E70" s="105">
        <v>60000</v>
      </c>
      <c r="F70" s="204">
        <f>GETPIVOTDATA("Somme de Spent  in XAF",$K$2,"Donor","Aspinall","Mois",3)</f>
        <v>19209030</v>
      </c>
      <c r="G70" s="105">
        <f>GETPIVOTDATA("Somme de Spent in $",$K$2,"Donor","Aspinall","Mois",3)</f>
        <v>35895.942939603367</v>
      </c>
      <c r="H70" s="111">
        <f t="shared" si="8"/>
        <v>9167987</v>
      </c>
      <c r="I70" s="111">
        <f>I69+E70-G70</f>
        <v>17104.61102859072</v>
      </c>
      <c r="J70" s="157">
        <f>D70/E70</f>
        <v>535.40981666666664</v>
      </c>
    </row>
    <row r="71" spans="1:10">
      <c r="A71" s="112" t="s">
        <v>83</v>
      </c>
      <c r="B71" s="105"/>
      <c r="C71" s="105"/>
      <c r="D71" s="389"/>
      <c r="E71" s="105"/>
      <c r="F71" s="204"/>
      <c r="G71" s="105"/>
      <c r="H71" s="111">
        <f t="shared" si="8"/>
        <v>9167987</v>
      </c>
      <c r="I71" s="111">
        <f t="shared" ref="I71:I79" si="10">I70+E71-G71</f>
        <v>17104.61102859072</v>
      </c>
    </row>
    <row r="72" spans="1:10">
      <c r="A72" s="113" t="s">
        <v>84</v>
      </c>
      <c r="B72" s="105"/>
      <c r="C72" s="105"/>
      <c r="D72" s="389"/>
      <c r="E72" s="105"/>
      <c r="F72" s="106"/>
      <c r="G72" s="105"/>
      <c r="H72" s="111">
        <f t="shared" si="8"/>
        <v>9167987</v>
      </c>
      <c r="I72" s="111">
        <f t="shared" si="10"/>
        <v>17104.61102859072</v>
      </c>
    </row>
    <row r="73" spans="1:10">
      <c r="A73" s="104" t="s">
        <v>85</v>
      </c>
      <c r="B73" s="105"/>
      <c r="C73" s="105"/>
      <c r="D73" s="389"/>
      <c r="E73" s="105"/>
      <c r="F73" s="106"/>
      <c r="G73" s="105"/>
      <c r="H73" s="111">
        <f t="shared" si="8"/>
        <v>9167987</v>
      </c>
      <c r="I73" s="111">
        <f t="shared" si="10"/>
        <v>17104.61102859072</v>
      </c>
    </row>
    <row r="74" spans="1:10">
      <c r="A74" s="104" t="s">
        <v>86</v>
      </c>
      <c r="B74" s="105"/>
      <c r="C74" s="105"/>
      <c r="D74" s="389"/>
      <c r="E74" s="105"/>
      <c r="F74" s="106"/>
      <c r="G74" s="105"/>
      <c r="H74" s="111">
        <f t="shared" si="8"/>
        <v>9167987</v>
      </c>
      <c r="I74" s="111">
        <f t="shared" si="10"/>
        <v>17104.61102859072</v>
      </c>
    </row>
    <row r="75" spans="1:10">
      <c r="A75" s="104" t="s">
        <v>87</v>
      </c>
      <c r="B75" s="105"/>
      <c r="C75" s="105"/>
      <c r="D75" s="389"/>
      <c r="E75" s="105"/>
      <c r="F75" s="106"/>
      <c r="G75" s="105"/>
      <c r="H75" s="111">
        <f t="shared" si="8"/>
        <v>9167987</v>
      </c>
      <c r="I75" s="111">
        <f t="shared" si="10"/>
        <v>17104.61102859072</v>
      </c>
    </row>
    <row r="76" spans="1:10">
      <c r="A76" s="107" t="s">
        <v>88</v>
      </c>
      <c r="B76" s="105"/>
      <c r="C76" s="105"/>
      <c r="D76" s="389"/>
      <c r="E76" s="105"/>
      <c r="F76" s="106"/>
      <c r="G76" s="105"/>
      <c r="H76" s="111">
        <f t="shared" si="8"/>
        <v>9167987</v>
      </c>
      <c r="I76" s="111">
        <f t="shared" si="10"/>
        <v>17104.61102859072</v>
      </c>
    </row>
    <row r="77" spans="1:10">
      <c r="A77" s="104" t="s">
        <v>89</v>
      </c>
      <c r="B77" s="105"/>
      <c r="C77" s="105"/>
      <c r="D77" s="389"/>
      <c r="E77" s="105"/>
      <c r="F77" s="106"/>
      <c r="G77" s="105"/>
      <c r="H77" s="111">
        <f t="shared" si="8"/>
        <v>9167987</v>
      </c>
      <c r="I77" s="111">
        <f t="shared" si="10"/>
        <v>17104.61102859072</v>
      </c>
    </row>
    <row r="78" spans="1:10">
      <c r="A78" s="104" t="s">
        <v>90</v>
      </c>
      <c r="B78" s="105"/>
      <c r="C78" s="105"/>
      <c r="D78" s="389"/>
      <c r="E78" s="105"/>
      <c r="F78" s="106"/>
      <c r="G78" s="105"/>
      <c r="H78" s="111">
        <f t="shared" si="8"/>
        <v>9167987</v>
      </c>
      <c r="I78" s="111">
        <f t="shared" si="10"/>
        <v>17104.61102859072</v>
      </c>
    </row>
    <row r="79" spans="1:10">
      <c r="A79" s="114" t="s">
        <v>91</v>
      </c>
      <c r="B79" s="115"/>
      <c r="C79" s="115"/>
      <c r="D79" s="392"/>
      <c r="E79" s="115"/>
      <c r="F79" s="116"/>
      <c r="G79" s="115"/>
      <c r="H79" s="375">
        <f t="shared" si="8"/>
        <v>9167987</v>
      </c>
      <c r="I79" s="111">
        <f t="shared" si="10"/>
        <v>17104.61102859072</v>
      </c>
    </row>
    <row r="80" spans="1:10" ht="26.4">
      <c r="A80" s="377" t="s">
        <v>346</v>
      </c>
      <c r="B80" s="378">
        <v>-8962620.0600000005</v>
      </c>
      <c r="C80" s="378">
        <f>B80/J80</f>
        <v>-16492.442670553035</v>
      </c>
      <c r="D80" s="395"/>
      <c r="E80" s="378"/>
      <c r="F80" s="379"/>
      <c r="G80" s="378"/>
      <c r="H80" s="374">
        <f>B80</f>
        <v>-8962620.0600000005</v>
      </c>
      <c r="I80" s="374">
        <f>C80</f>
        <v>-16492.442670553035</v>
      </c>
      <c r="J80" s="157">
        <v>543.43799999999999</v>
      </c>
    </row>
    <row r="81" spans="1:10" ht="14.4" thickBot="1">
      <c r="A81" s="230" t="s">
        <v>92</v>
      </c>
      <c r="B81" s="376">
        <f>B2+B15+B28+B41+B54+B67+B80</f>
        <v>2020812.7602750007</v>
      </c>
      <c r="C81" s="376">
        <f t="shared" ref="C81:I81" si="11">C2+C15+C28+C41+C54+C67+C80</f>
        <v>4025.6073294469643</v>
      </c>
      <c r="D81" s="396">
        <f t="shared" si="11"/>
        <v>40285287</v>
      </c>
      <c r="E81" s="376">
        <f t="shared" si="11"/>
        <v>75550</v>
      </c>
      <c r="F81" s="376">
        <f t="shared" si="11"/>
        <v>27828436</v>
      </c>
      <c r="G81" s="376">
        <f t="shared" si="11"/>
        <v>52120.89717807361</v>
      </c>
      <c r="H81" s="376">
        <f>H2+H15+H28+H41+H54+H67+H80</f>
        <v>14477663.760275001</v>
      </c>
      <c r="I81" s="376">
        <f t="shared" si="11"/>
        <v>27454.710151373351</v>
      </c>
    </row>
    <row r="83" spans="1:10">
      <c r="A83" s="152"/>
      <c r="B83" s="152">
        <v>2020813</v>
      </c>
      <c r="C83" s="152"/>
      <c r="F83" t="s">
        <v>93</v>
      </c>
      <c r="H83" s="142">
        <f>'Balance   '!I29</f>
        <v>14477664</v>
      </c>
      <c r="J83"/>
    </row>
    <row r="84" spans="1:10">
      <c r="A84" s="152"/>
      <c r="B84" s="152">
        <f>B81-B83</f>
        <v>-0.23972499929368496</v>
      </c>
      <c r="C84" s="152"/>
      <c r="F84" t="s">
        <v>49</v>
      </c>
      <c r="H84" s="152">
        <f>H81-H83</f>
        <v>-0.23972499929368496</v>
      </c>
      <c r="J84"/>
    </row>
    <row r="85" spans="1:10">
      <c r="B85" s="142"/>
      <c r="J85"/>
    </row>
    <row r="86" spans="1:10">
      <c r="B86" s="152"/>
      <c r="J86"/>
    </row>
    <row r="87" spans="1:10">
      <c r="B87" s="155"/>
      <c r="J87"/>
    </row>
    <row r="89" spans="1:10">
      <c r="J89"/>
    </row>
  </sheetData>
  <pageMargins left="0.7" right="0.7" top="0.78740157499999996" bottom="0.78740157499999996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>
    <tabColor rgb="FFFFFF00"/>
  </sheetPr>
  <dimension ref="A1:H42"/>
  <sheetViews>
    <sheetView workbookViewId="0">
      <selection activeCell="G23" sqref="G23"/>
    </sheetView>
  </sheetViews>
  <sheetFormatPr baseColWidth="10" defaultColWidth="8.69921875" defaultRowHeight="13.8"/>
  <cols>
    <col min="1" max="1" width="15.69921875" customWidth="1"/>
    <col min="2" max="2" width="44.09765625" style="71" customWidth="1"/>
    <col min="3" max="4" width="15.69921875" style="71" customWidth="1"/>
    <col min="5" max="6" width="15.69921875" customWidth="1"/>
    <col min="7" max="7" width="20.3984375" bestFit="1" customWidth="1"/>
    <col min="8" max="8" width="20.3984375" style="71" bestFit="1" customWidth="1"/>
  </cols>
  <sheetData>
    <row r="1" spans="1:8">
      <c r="A1" s="75" t="s">
        <v>177</v>
      </c>
      <c r="B1" s="94" t="s">
        <v>173</v>
      </c>
      <c r="C1" s="94" t="s">
        <v>174</v>
      </c>
      <c r="D1" s="94" t="s">
        <v>176</v>
      </c>
      <c r="E1" s="75" t="s">
        <v>175</v>
      </c>
    </row>
    <row r="2" spans="1:8">
      <c r="A2" s="212">
        <v>46083</v>
      </c>
      <c r="B2" s="94">
        <v>37500</v>
      </c>
      <c r="C2" s="94"/>
      <c r="D2" s="94">
        <f>B2-C2</f>
        <v>37500</v>
      </c>
      <c r="E2" s="75"/>
      <c r="G2" s="161" t="s">
        <v>157</v>
      </c>
      <c r="H2" t="s">
        <v>183</v>
      </c>
    </row>
    <row r="3" spans="1:8">
      <c r="A3" s="212">
        <v>46083</v>
      </c>
      <c r="B3" s="94"/>
      <c r="C3" s="94">
        <v>10000</v>
      </c>
      <c r="D3" s="94">
        <f>D2+B3-C3</f>
        <v>27500</v>
      </c>
      <c r="E3" s="75" t="s">
        <v>111</v>
      </c>
      <c r="G3" s="141" t="s">
        <v>882</v>
      </c>
      <c r="H3">
        <v>30000</v>
      </c>
    </row>
    <row r="4" spans="1:8">
      <c r="A4" s="212">
        <v>46083</v>
      </c>
      <c r="B4" s="94"/>
      <c r="C4" s="94">
        <v>5000</v>
      </c>
      <c r="D4" s="94">
        <f t="shared" ref="D4:D42" si="0">D3+B4-C4</f>
        <v>22500</v>
      </c>
      <c r="E4" s="75" t="s">
        <v>168</v>
      </c>
      <c r="G4" s="141" t="s">
        <v>134</v>
      </c>
      <c r="H4">
        <v>25500</v>
      </c>
    </row>
    <row r="5" spans="1:8">
      <c r="A5" s="212">
        <v>46083</v>
      </c>
      <c r="B5" s="94"/>
      <c r="C5" s="94">
        <v>7500</v>
      </c>
      <c r="D5" s="94">
        <f t="shared" si="0"/>
        <v>15000</v>
      </c>
      <c r="E5" s="75" t="s">
        <v>882</v>
      </c>
      <c r="G5" s="141" t="s">
        <v>111</v>
      </c>
      <c r="H5">
        <v>40000</v>
      </c>
    </row>
    <row r="6" spans="1:8">
      <c r="A6" s="212">
        <v>46083</v>
      </c>
      <c r="B6" s="94"/>
      <c r="C6" s="94">
        <v>7500</v>
      </c>
      <c r="D6" s="94">
        <f t="shared" si="0"/>
        <v>7500</v>
      </c>
      <c r="E6" s="75" t="s">
        <v>122</v>
      </c>
      <c r="G6" s="141" t="s">
        <v>129</v>
      </c>
      <c r="H6">
        <v>25500</v>
      </c>
    </row>
    <row r="7" spans="1:8">
      <c r="A7" s="212">
        <v>46083</v>
      </c>
      <c r="B7" s="94"/>
      <c r="C7" s="94">
        <v>7500</v>
      </c>
      <c r="D7" s="94">
        <f t="shared" si="0"/>
        <v>0</v>
      </c>
      <c r="E7" s="75" t="s">
        <v>131</v>
      </c>
      <c r="G7" s="141" t="s">
        <v>131</v>
      </c>
      <c r="H7">
        <v>30000</v>
      </c>
    </row>
    <row r="8" spans="1:8">
      <c r="A8" s="212">
        <v>46085</v>
      </c>
      <c r="B8" s="94">
        <v>16000</v>
      </c>
      <c r="C8" s="94"/>
      <c r="D8" s="94">
        <f t="shared" si="0"/>
        <v>16000</v>
      </c>
      <c r="E8" s="75"/>
      <c r="G8" s="141" t="s">
        <v>123</v>
      </c>
      <c r="H8">
        <v>30000</v>
      </c>
    </row>
    <row r="9" spans="1:8">
      <c r="A9" s="212">
        <v>46085</v>
      </c>
      <c r="B9" s="94"/>
      <c r="C9" s="94">
        <v>3000</v>
      </c>
      <c r="D9" s="94">
        <f t="shared" si="0"/>
        <v>13000</v>
      </c>
      <c r="E9" s="75" t="s">
        <v>134</v>
      </c>
      <c r="G9" s="141" t="s">
        <v>168</v>
      </c>
      <c r="H9">
        <v>20000</v>
      </c>
    </row>
    <row r="10" spans="1:8">
      <c r="A10" s="212">
        <v>46085</v>
      </c>
      <c r="B10" s="94"/>
      <c r="C10" s="94">
        <v>2500</v>
      </c>
      <c r="D10" s="94">
        <f t="shared" si="0"/>
        <v>10500</v>
      </c>
      <c r="E10" s="75" t="s">
        <v>124</v>
      </c>
      <c r="G10" s="141" t="s">
        <v>124</v>
      </c>
      <c r="H10">
        <v>17500</v>
      </c>
    </row>
    <row r="11" spans="1:8">
      <c r="A11" s="212">
        <v>46085</v>
      </c>
      <c r="B11" s="94"/>
      <c r="C11" s="94">
        <v>7500</v>
      </c>
      <c r="D11" s="94">
        <f t="shared" si="0"/>
        <v>3000</v>
      </c>
      <c r="E11" s="75" t="s">
        <v>123</v>
      </c>
      <c r="G11" s="141" t="s">
        <v>122</v>
      </c>
      <c r="H11">
        <v>30000</v>
      </c>
    </row>
    <row r="12" spans="1:8">
      <c r="A12" s="212">
        <v>46085</v>
      </c>
      <c r="B12" s="94"/>
      <c r="C12" s="94">
        <v>3000</v>
      </c>
      <c r="D12" s="94">
        <f t="shared" si="0"/>
        <v>0</v>
      </c>
      <c r="E12" s="75" t="s">
        <v>129</v>
      </c>
      <c r="G12" s="141" t="s">
        <v>180</v>
      </c>
      <c r="H12"/>
    </row>
    <row r="13" spans="1:8">
      <c r="A13" s="212">
        <v>46091</v>
      </c>
      <c r="B13" s="94">
        <v>65000</v>
      </c>
      <c r="C13" s="94"/>
      <c r="D13" s="94">
        <f t="shared" si="0"/>
        <v>65000</v>
      </c>
      <c r="E13" s="75"/>
      <c r="G13" s="141" t="s">
        <v>158</v>
      </c>
      <c r="H13">
        <v>248500</v>
      </c>
    </row>
    <row r="14" spans="1:8">
      <c r="A14" s="212">
        <v>46091</v>
      </c>
      <c r="B14" s="94"/>
      <c r="C14" s="94">
        <v>10000</v>
      </c>
      <c r="D14" s="94">
        <f t="shared" si="0"/>
        <v>55000</v>
      </c>
      <c r="E14" s="75" t="s">
        <v>111</v>
      </c>
      <c r="H14"/>
    </row>
    <row r="15" spans="1:8">
      <c r="A15" s="212">
        <v>46091</v>
      </c>
      <c r="B15" s="94"/>
      <c r="C15" s="94">
        <v>5000</v>
      </c>
      <c r="D15" s="94">
        <f t="shared" si="0"/>
        <v>50000</v>
      </c>
      <c r="E15" s="75" t="s">
        <v>168</v>
      </c>
      <c r="H15"/>
    </row>
    <row r="16" spans="1:8">
      <c r="A16" s="212">
        <v>46091</v>
      </c>
      <c r="B16" s="94"/>
      <c r="C16" s="94">
        <v>7500</v>
      </c>
      <c r="D16" s="94">
        <f t="shared" si="0"/>
        <v>42500</v>
      </c>
      <c r="E16" s="75" t="s">
        <v>882</v>
      </c>
      <c r="H16"/>
    </row>
    <row r="17" spans="1:8">
      <c r="A17" s="212">
        <v>46091</v>
      </c>
      <c r="B17" s="94"/>
      <c r="C17" s="94">
        <v>7500</v>
      </c>
      <c r="D17" s="94">
        <f t="shared" si="0"/>
        <v>35000</v>
      </c>
      <c r="E17" s="75" t="s">
        <v>134</v>
      </c>
      <c r="H17"/>
    </row>
    <row r="18" spans="1:8">
      <c r="A18" s="212">
        <v>46091</v>
      </c>
      <c r="B18" s="443"/>
      <c r="C18" s="443">
        <v>5000</v>
      </c>
      <c r="D18" s="94">
        <f t="shared" si="0"/>
        <v>30000</v>
      </c>
      <c r="E18" s="75" t="s">
        <v>124</v>
      </c>
    </row>
    <row r="19" spans="1:8">
      <c r="A19" s="212">
        <v>46091</v>
      </c>
      <c r="B19" s="75"/>
      <c r="C19" s="94">
        <v>7500</v>
      </c>
      <c r="D19" s="94">
        <f t="shared" si="0"/>
        <v>22500</v>
      </c>
      <c r="E19" s="75" t="s">
        <v>129</v>
      </c>
    </row>
    <row r="20" spans="1:8">
      <c r="A20" s="212">
        <v>46091</v>
      </c>
      <c r="B20" s="75"/>
      <c r="C20" s="94">
        <v>7500</v>
      </c>
      <c r="D20" s="94">
        <f t="shared" si="0"/>
        <v>15000</v>
      </c>
      <c r="E20" s="75" t="s">
        <v>123</v>
      </c>
    </row>
    <row r="21" spans="1:8">
      <c r="A21" s="212">
        <v>46091</v>
      </c>
      <c r="B21" s="75"/>
      <c r="C21" s="94">
        <v>7500</v>
      </c>
      <c r="D21" s="94">
        <f t="shared" si="0"/>
        <v>7500</v>
      </c>
      <c r="E21" s="75" t="s">
        <v>122</v>
      </c>
    </row>
    <row r="22" spans="1:8">
      <c r="A22" s="341">
        <v>46091</v>
      </c>
      <c r="B22" s="124"/>
      <c r="C22" s="443">
        <v>7500</v>
      </c>
      <c r="D22" s="443">
        <f t="shared" si="0"/>
        <v>0</v>
      </c>
      <c r="E22" s="124" t="s">
        <v>131</v>
      </c>
    </row>
    <row r="23" spans="1:8">
      <c r="A23" s="212">
        <v>46099</v>
      </c>
      <c r="B23" s="75">
        <v>65000</v>
      </c>
      <c r="C23" s="94"/>
      <c r="D23" s="94">
        <f t="shared" si="0"/>
        <v>65000</v>
      </c>
      <c r="E23" s="75"/>
    </row>
    <row r="24" spans="1:8">
      <c r="A24" s="212">
        <v>46099</v>
      </c>
      <c r="B24" s="75"/>
      <c r="C24" s="94">
        <v>10000</v>
      </c>
      <c r="D24" s="94">
        <f t="shared" si="0"/>
        <v>55000</v>
      </c>
      <c r="E24" s="75" t="s">
        <v>111</v>
      </c>
    </row>
    <row r="25" spans="1:8">
      <c r="A25" s="212">
        <v>46099</v>
      </c>
      <c r="B25" s="75"/>
      <c r="C25" s="94">
        <v>5000</v>
      </c>
      <c r="D25" s="94">
        <f t="shared" si="0"/>
        <v>50000</v>
      </c>
      <c r="E25" s="75" t="s">
        <v>168</v>
      </c>
    </row>
    <row r="26" spans="1:8">
      <c r="A26" s="212">
        <v>46099</v>
      </c>
      <c r="B26" s="75"/>
      <c r="C26" s="94">
        <v>7500</v>
      </c>
      <c r="D26" s="94">
        <f t="shared" si="0"/>
        <v>42500</v>
      </c>
      <c r="E26" s="75" t="s">
        <v>882</v>
      </c>
    </row>
    <row r="27" spans="1:8">
      <c r="A27" s="212">
        <v>46099</v>
      </c>
      <c r="B27" s="75"/>
      <c r="C27" s="94">
        <v>7500</v>
      </c>
      <c r="D27" s="94">
        <f t="shared" si="0"/>
        <v>35000</v>
      </c>
      <c r="E27" s="75" t="s">
        <v>134</v>
      </c>
    </row>
    <row r="28" spans="1:8">
      <c r="A28" s="212">
        <v>46099</v>
      </c>
      <c r="B28" s="124"/>
      <c r="C28" s="124">
        <v>5000</v>
      </c>
      <c r="D28" s="443">
        <f t="shared" si="0"/>
        <v>30000</v>
      </c>
      <c r="E28" s="124" t="s">
        <v>124</v>
      </c>
    </row>
    <row r="29" spans="1:8">
      <c r="A29" s="212">
        <v>46099</v>
      </c>
      <c r="B29" s="75"/>
      <c r="C29" s="75">
        <v>7500</v>
      </c>
      <c r="D29" s="94">
        <f t="shared" si="0"/>
        <v>22500</v>
      </c>
      <c r="E29" s="75" t="s">
        <v>129</v>
      </c>
    </row>
    <row r="30" spans="1:8">
      <c r="A30" s="212">
        <v>46099</v>
      </c>
      <c r="B30" s="75"/>
      <c r="C30" s="75">
        <v>7500</v>
      </c>
      <c r="D30" s="94">
        <f t="shared" si="0"/>
        <v>15000</v>
      </c>
      <c r="E30" s="75" t="s">
        <v>123</v>
      </c>
    </row>
    <row r="31" spans="1:8">
      <c r="A31" s="212">
        <v>46099</v>
      </c>
      <c r="B31" s="75"/>
      <c r="C31" s="75">
        <v>7500</v>
      </c>
      <c r="D31" s="94">
        <f t="shared" si="0"/>
        <v>7500</v>
      </c>
      <c r="E31" s="75" t="s">
        <v>122</v>
      </c>
    </row>
    <row r="32" spans="1:8">
      <c r="A32" s="341">
        <v>46099</v>
      </c>
      <c r="B32" s="124"/>
      <c r="C32" s="124">
        <v>7500</v>
      </c>
      <c r="D32" s="443">
        <f t="shared" si="0"/>
        <v>0</v>
      </c>
      <c r="E32" s="124" t="s">
        <v>131</v>
      </c>
    </row>
    <row r="33" spans="1:5">
      <c r="A33" s="341">
        <v>46105</v>
      </c>
      <c r="B33" s="75">
        <v>65000</v>
      </c>
      <c r="C33" s="75"/>
      <c r="D33" s="94">
        <f t="shared" si="0"/>
        <v>65000</v>
      </c>
      <c r="E33" s="75"/>
    </row>
    <row r="34" spans="1:5">
      <c r="A34" s="341">
        <v>46105</v>
      </c>
      <c r="B34" s="75"/>
      <c r="C34" s="75">
        <v>10000</v>
      </c>
      <c r="D34" s="94">
        <f t="shared" si="0"/>
        <v>55000</v>
      </c>
      <c r="E34" s="75" t="s">
        <v>111</v>
      </c>
    </row>
    <row r="35" spans="1:5">
      <c r="A35" s="341">
        <v>46105</v>
      </c>
      <c r="B35" s="75"/>
      <c r="C35" s="75">
        <v>5000</v>
      </c>
      <c r="D35" s="94">
        <f t="shared" si="0"/>
        <v>50000</v>
      </c>
      <c r="E35" s="75" t="s">
        <v>168</v>
      </c>
    </row>
    <row r="36" spans="1:5">
      <c r="A36" s="341">
        <v>46105</v>
      </c>
      <c r="B36" s="75"/>
      <c r="C36" s="75">
        <v>7500</v>
      </c>
      <c r="D36" s="94">
        <f t="shared" si="0"/>
        <v>42500</v>
      </c>
      <c r="E36" s="75" t="s">
        <v>882</v>
      </c>
    </row>
    <row r="37" spans="1:5">
      <c r="A37" s="341">
        <v>46105</v>
      </c>
      <c r="B37" s="75"/>
      <c r="C37" s="75">
        <v>7500</v>
      </c>
      <c r="D37" s="94">
        <f t="shared" si="0"/>
        <v>35000</v>
      </c>
      <c r="E37" s="75" t="s">
        <v>134</v>
      </c>
    </row>
    <row r="38" spans="1:5">
      <c r="A38" s="341">
        <v>46105</v>
      </c>
      <c r="B38" s="75"/>
      <c r="C38" s="75">
        <v>5000</v>
      </c>
      <c r="D38" s="94">
        <f t="shared" si="0"/>
        <v>30000</v>
      </c>
      <c r="E38" s="124" t="s">
        <v>124</v>
      </c>
    </row>
    <row r="39" spans="1:5">
      <c r="A39" s="341">
        <v>46105</v>
      </c>
      <c r="B39" s="75"/>
      <c r="C39" s="75">
        <v>7500</v>
      </c>
      <c r="D39" s="94">
        <f t="shared" si="0"/>
        <v>22500</v>
      </c>
      <c r="E39" s="75" t="s">
        <v>129</v>
      </c>
    </row>
    <row r="40" spans="1:5">
      <c r="A40" s="341">
        <v>46105</v>
      </c>
      <c r="B40" s="75"/>
      <c r="C40" s="75">
        <v>7500</v>
      </c>
      <c r="D40" s="94">
        <f t="shared" si="0"/>
        <v>15000</v>
      </c>
      <c r="E40" s="75" t="s">
        <v>123</v>
      </c>
    </row>
    <row r="41" spans="1:5">
      <c r="A41" s="341">
        <v>46105</v>
      </c>
      <c r="B41" s="75"/>
      <c r="C41" s="75">
        <v>7500</v>
      </c>
      <c r="D41" s="94">
        <f t="shared" si="0"/>
        <v>7500</v>
      </c>
      <c r="E41" s="75" t="s">
        <v>122</v>
      </c>
    </row>
    <row r="42" spans="1:5">
      <c r="A42" s="341">
        <v>46105</v>
      </c>
      <c r="B42" s="124"/>
      <c r="C42" s="124">
        <v>7500</v>
      </c>
      <c r="D42" s="443">
        <f t="shared" si="0"/>
        <v>0</v>
      </c>
      <c r="E42" s="124" t="s">
        <v>131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O1083"/>
  <sheetViews>
    <sheetView zoomScale="85" zoomScaleNormal="85" workbookViewId="0">
      <pane ySplit="1" topLeftCell="A2" activePane="bottomLeft" state="frozen"/>
      <selection pane="bottomLeft" activeCell="B757" sqref="B757"/>
    </sheetView>
  </sheetViews>
  <sheetFormatPr baseColWidth="10" defaultColWidth="8.69921875" defaultRowHeight="15.6"/>
  <cols>
    <col min="1" max="1" width="12.69921875" style="251" customWidth="1"/>
    <col min="2" max="2" width="82" customWidth="1"/>
    <col min="3" max="3" width="20.69921875" customWidth="1"/>
    <col min="4" max="4" width="12.69921875" customWidth="1"/>
    <col min="5" max="5" width="18.8984375" style="71" customWidth="1"/>
    <col min="6" max="6" width="17.69921875" style="261" customWidth="1"/>
    <col min="7" max="7" width="15.3984375" style="260" customWidth="1"/>
    <col min="8" max="8" width="17" customWidth="1"/>
    <col min="9" max="9" width="22.09765625" customWidth="1"/>
    <col min="10" max="10" width="12.69921875" customWidth="1"/>
    <col min="11" max="11" width="13.3984375" style="246" customWidth="1"/>
    <col min="12" max="14" width="12.69921875" customWidth="1"/>
    <col min="15" max="15" width="28.3984375" customWidth="1"/>
  </cols>
  <sheetData>
    <row r="1" spans="1:15" s="244" customFormat="1" ht="31.2">
      <c r="A1" s="250" t="s">
        <v>0</v>
      </c>
      <c r="B1" s="252" t="s">
        <v>1</v>
      </c>
      <c r="C1" s="252" t="s">
        <v>2</v>
      </c>
      <c r="D1" s="252" t="s">
        <v>3</v>
      </c>
      <c r="E1" s="255" t="s">
        <v>109</v>
      </c>
      <c r="F1" s="255" t="s">
        <v>4</v>
      </c>
      <c r="G1" s="255" t="s">
        <v>5</v>
      </c>
      <c r="H1" s="255" t="s">
        <v>10</v>
      </c>
      <c r="I1" s="255" t="s">
        <v>6</v>
      </c>
      <c r="J1" s="255" t="s">
        <v>7</v>
      </c>
      <c r="K1" s="263" t="s">
        <v>8</v>
      </c>
      <c r="L1" s="255" t="s">
        <v>9</v>
      </c>
      <c r="M1" s="256" t="s">
        <v>166</v>
      </c>
      <c r="N1" s="254" t="s">
        <v>167</v>
      </c>
      <c r="O1" s="255" t="s">
        <v>69</v>
      </c>
    </row>
    <row r="2" spans="1:15" s="244" customFormat="1" ht="15" customHeight="1">
      <c r="A2" s="453">
        <v>46083</v>
      </c>
      <c r="B2" s="170" t="s">
        <v>186</v>
      </c>
      <c r="C2" s="170" t="s">
        <v>337</v>
      </c>
      <c r="D2" s="232" t="s">
        <v>99</v>
      </c>
      <c r="E2" s="170">
        <v>1000</v>
      </c>
      <c r="F2" s="454">
        <f t="shared" ref="F2:F65" si="0">E2/G2</f>
        <v>1.8771635173931283</v>
      </c>
      <c r="G2" s="239">
        <v>532.71864210781655</v>
      </c>
      <c r="H2" s="455" t="s">
        <v>111</v>
      </c>
      <c r="I2" s="170" t="s">
        <v>380</v>
      </c>
      <c r="J2" s="170" t="s">
        <v>96</v>
      </c>
      <c r="K2" s="170" t="s">
        <v>345</v>
      </c>
      <c r="L2" s="170" t="s">
        <v>113</v>
      </c>
      <c r="M2" s="362"/>
      <c r="N2" s="362"/>
      <c r="O2" s="247"/>
    </row>
    <row r="3" spans="1:15" s="244" customFormat="1">
      <c r="A3" s="453">
        <v>46083</v>
      </c>
      <c r="B3" s="456" t="s">
        <v>1003</v>
      </c>
      <c r="C3" s="170" t="s">
        <v>110</v>
      </c>
      <c r="D3" s="232" t="s">
        <v>99</v>
      </c>
      <c r="E3" s="170">
        <v>10000</v>
      </c>
      <c r="F3" s="454">
        <f t="shared" si="0"/>
        <v>18.771635173931283</v>
      </c>
      <c r="G3" s="239">
        <v>532.71864210781655</v>
      </c>
      <c r="H3" s="455" t="s">
        <v>111</v>
      </c>
      <c r="I3" s="170" t="s">
        <v>382</v>
      </c>
      <c r="J3" s="170" t="s">
        <v>96</v>
      </c>
      <c r="K3" s="170" t="s">
        <v>345</v>
      </c>
      <c r="L3" s="170" t="s">
        <v>113</v>
      </c>
      <c r="M3" s="361"/>
      <c r="N3" s="361"/>
      <c r="O3" s="247"/>
    </row>
    <row r="4" spans="1:15" s="244" customFormat="1">
      <c r="A4" s="453">
        <v>46083</v>
      </c>
      <c r="B4" s="456" t="s">
        <v>350</v>
      </c>
      <c r="C4" s="170" t="s">
        <v>104</v>
      </c>
      <c r="D4" s="232" t="s">
        <v>99</v>
      </c>
      <c r="E4" s="170">
        <v>250000</v>
      </c>
      <c r="F4" s="454">
        <f t="shared" si="0"/>
        <v>469.29087934828209</v>
      </c>
      <c r="G4" s="239">
        <v>532.71864210781655</v>
      </c>
      <c r="H4" s="455" t="s">
        <v>111</v>
      </c>
      <c r="I4" s="170" t="s">
        <v>383</v>
      </c>
      <c r="J4" s="170" t="s">
        <v>96</v>
      </c>
      <c r="K4" s="170" t="s">
        <v>345</v>
      </c>
      <c r="L4" s="170" t="s">
        <v>113</v>
      </c>
      <c r="M4" s="361"/>
      <c r="N4" s="361"/>
      <c r="O4" s="247"/>
    </row>
    <row r="5" spans="1:15" s="244" customFormat="1">
      <c r="A5" s="457">
        <v>46083</v>
      </c>
      <c r="B5" s="242" t="s">
        <v>192</v>
      </c>
      <c r="C5" s="170" t="s">
        <v>337</v>
      </c>
      <c r="D5" s="458" t="s">
        <v>99</v>
      </c>
      <c r="E5" s="242">
        <v>1000</v>
      </c>
      <c r="F5" s="454">
        <f t="shared" si="0"/>
        <v>1.8771635173931283</v>
      </c>
      <c r="G5" s="239">
        <v>532.71864210781655</v>
      </c>
      <c r="H5" s="459" t="s">
        <v>111</v>
      </c>
      <c r="I5" s="170" t="s">
        <v>380</v>
      </c>
      <c r="J5" s="170" t="s">
        <v>96</v>
      </c>
      <c r="K5" s="170" t="s">
        <v>345</v>
      </c>
      <c r="L5" s="170" t="s">
        <v>113</v>
      </c>
      <c r="M5" s="361"/>
      <c r="N5" s="361"/>
      <c r="O5" s="247"/>
    </row>
    <row r="6" spans="1:15" s="244" customFormat="1">
      <c r="A6" s="461">
        <v>46083</v>
      </c>
      <c r="B6" s="462" t="s">
        <v>394</v>
      </c>
      <c r="C6" s="462" t="s">
        <v>110</v>
      </c>
      <c r="D6" s="463" t="s">
        <v>97</v>
      </c>
      <c r="E6" s="464">
        <v>7500</v>
      </c>
      <c r="F6" s="454">
        <f t="shared" si="0"/>
        <v>14.441102265267405</v>
      </c>
      <c r="G6" s="239">
        <v>519.35093749999999</v>
      </c>
      <c r="H6" s="165" t="s">
        <v>128</v>
      </c>
      <c r="I6" s="464" t="s">
        <v>425</v>
      </c>
      <c r="J6" s="170" t="s">
        <v>96</v>
      </c>
      <c r="K6" s="170" t="s">
        <v>345</v>
      </c>
      <c r="L6" s="170" t="s">
        <v>113</v>
      </c>
      <c r="M6" s="361"/>
      <c r="N6" s="361"/>
      <c r="O6" s="271"/>
    </row>
    <row r="7" spans="1:15" s="244" customFormat="1">
      <c r="A7" s="467">
        <v>46083</v>
      </c>
      <c r="B7" s="242" t="s">
        <v>196</v>
      </c>
      <c r="C7" s="170" t="s">
        <v>337</v>
      </c>
      <c r="D7" s="242" t="s">
        <v>98</v>
      </c>
      <c r="E7" s="298">
        <v>1000</v>
      </c>
      <c r="F7" s="454">
        <f t="shared" si="0"/>
        <v>1.867727535907062</v>
      </c>
      <c r="G7" s="239">
        <v>535.41</v>
      </c>
      <c r="H7" s="242" t="s">
        <v>168</v>
      </c>
      <c r="I7" s="242" t="s">
        <v>510</v>
      </c>
      <c r="J7" s="170" t="s">
        <v>96</v>
      </c>
      <c r="K7" s="170" t="s">
        <v>345</v>
      </c>
      <c r="L7" s="170" t="s">
        <v>113</v>
      </c>
      <c r="M7" s="75"/>
      <c r="N7" s="75"/>
      <c r="O7" s="75"/>
    </row>
    <row r="8" spans="1:15" s="244" customFormat="1">
      <c r="A8" s="467">
        <v>46083</v>
      </c>
      <c r="B8" s="242" t="s">
        <v>438</v>
      </c>
      <c r="C8" s="170" t="s">
        <v>337</v>
      </c>
      <c r="D8" s="242" t="s">
        <v>98</v>
      </c>
      <c r="E8" s="298">
        <v>1000</v>
      </c>
      <c r="F8" s="454">
        <f t="shared" si="0"/>
        <v>1.867727535907062</v>
      </c>
      <c r="G8" s="239">
        <v>535.41</v>
      </c>
      <c r="H8" s="242" t="s">
        <v>168</v>
      </c>
      <c r="I8" s="242" t="s">
        <v>510</v>
      </c>
      <c r="J8" s="170" t="s">
        <v>96</v>
      </c>
      <c r="K8" s="170" t="s">
        <v>345</v>
      </c>
      <c r="L8" s="170" t="s">
        <v>113</v>
      </c>
      <c r="M8" s="75"/>
      <c r="N8" s="75"/>
      <c r="O8" s="75"/>
    </row>
    <row r="9" spans="1:15" s="257" customFormat="1">
      <c r="A9" s="467">
        <v>46083</v>
      </c>
      <c r="B9" s="242" t="s">
        <v>439</v>
      </c>
      <c r="C9" s="170" t="s">
        <v>337</v>
      </c>
      <c r="D9" s="242" t="s">
        <v>98</v>
      </c>
      <c r="E9" s="298">
        <v>1000</v>
      </c>
      <c r="F9" s="454">
        <f t="shared" si="0"/>
        <v>1.867727535907062</v>
      </c>
      <c r="G9" s="239">
        <v>535.41</v>
      </c>
      <c r="H9" s="242" t="s">
        <v>168</v>
      </c>
      <c r="I9" s="242" t="s">
        <v>510</v>
      </c>
      <c r="J9" s="170" t="s">
        <v>96</v>
      </c>
      <c r="K9" s="170" t="s">
        <v>345</v>
      </c>
      <c r="L9" s="170" t="s">
        <v>113</v>
      </c>
      <c r="M9" s="75"/>
      <c r="N9" s="75"/>
      <c r="O9" s="75"/>
    </row>
    <row r="10" spans="1:15" s="257" customFormat="1">
      <c r="A10" s="467">
        <v>46083</v>
      </c>
      <c r="B10" s="242" t="s">
        <v>440</v>
      </c>
      <c r="C10" s="242" t="s">
        <v>110</v>
      </c>
      <c r="D10" s="242" t="s">
        <v>99</v>
      </c>
      <c r="E10" s="298">
        <v>5000</v>
      </c>
      <c r="F10" s="454">
        <f t="shared" si="0"/>
        <v>9.3386376795353101</v>
      </c>
      <c r="G10" s="239">
        <v>535.41</v>
      </c>
      <c r="H10" s="242" t="s">
        <v>168</v>
      </c>
      <c r="I10" s="242" t="s">
        <v>511</v>
      </c>
      <c r="J10" s="170" t="s">
        <v>96</v>
      </c>
      <c r="K10" s="170" t="s">
        <v>345</v>
      </c>
      <c r="L10" s="170" t="s">
        <v>113</v>
      </c>
      <c r="M10" s="75"/>
      <c r="N10" s="75"/>
      <c r="O10" s="75"/>
    </row>
    <row r="11" spans="1:15" s="257" customFormat="1">
      <c r="A11" s="457">
        <v>46083</v>
      </c>
      <c r="B11" s="242" t="s">
        <v>1025</v>
      </c>
      <c r="C11" s="170" t="s">
        <v>337</v>
      </c>
      <c r="D11" s="242" t="s">
        <v>259</v>
      </c>
      <c r="E11" s="242">
        <v>1000</v>
      </c>
      <c r="F11" s="454">
        <f t="shared" si="0"/>
        <v>1.867727535907062</v>
      </c>
      <c r="G11" s="239">
        <v>535.41</v>
      </c>
      <c r="H11" s="242" t="s">
        <v>122</v>
      </c>
      <c r="I11" s="242" t="s">
        <v>594</v>
      </c>
      <c r="J11" s="170" t="s">
        <v>96</v>
      </c>
      <c r="K11" s="170" t="s">
        <v>345</v>
      </c>
      <c r="L11" s="170" t="s">
        <v>113</v>
      </c>
      <c r="M11" s="75"/>
      <c r="N11" s="75"/>
      <c r="O11" s="75"/>
    </row>
    <row r="12" spans="1:15" s="257" customFormat="1">
      <c r="A12" s="457">
        <v>46083</v>
      </c>
      <c r="B12" s="165" t="s">
        <v>585</v>
      </c>
      <c r="C12" s="165" t="s">
        <v>110</v>
      </c>
      <c r="D12" s="242" t="s">
        <v>259</v>
      </c>
      <c r="E12" s="242">
        <v>7500</v>
      </c>
      <c r="F12" s="454">
        <f t="shared" si="0"/>
        <v>14.007956519302965</v>
      </c>
      <c r="G12" s="239">
        <v>535.41</v>
      </c>
      <c r="H12" s="242" t="s">
        <v>122</v>
      </c>
      <c r="I12" s="242" t="s">
        <v>595</v>
      </c>
      <c r="J12" s="170" t="s">
        <v>96</v>
      </c>
      <c r="K12" s="170" t="s">
        <v>345</v>
      </c>
      <c r="L12" s="170" t="s">
        <v>113</v>
      </c>
      <c r="M12" s="75"/>
      <c r="N12" s="75"/>
      <c r="O12" s="75"/>
    </row>
    <row r="13" spans="1:15" s="257" customFormat="1">
      <c r="A13" s="457">
        <v>46083</v>
      </c>
      <c r="B13" s="242" t="s">
        <v>1025</v>
      </c>
      <c r="C13" s="170" t="s">
        <v>337</v>
      </c>
      <c r="D13" s="242" t="s">
        <v>259</v>
      </c>
      <c r="E13" s="242">
        <v>1000</v>
      </c>
      <c r="F13" s="454">
        <f t="shared" si="0"/>
        <v>1.867727535907062</v>
      </c>
      <c r="G13" s="239">
        <v>535.41</v>
      </c>
      <c r="H13" s="242" t="s">
        <v>122</v>
      </c>
      <c r="I13" s="242" t="s">
        <v>594</v>
      </c>
      <c r="J13" s="170" t="s">
        <v>96</v>
      </c>
      <c r="K13" s="170" t="s">
        <v>345</v>
      </c>
      <c r="L13" s="170" t="s">
        <v>113</v>
      </c>
      <c r="M13" s="75"/>
      <c r="N13" s="75"/>
      <c r="O13" s="75"/>
    </row>
    <row r="14" spans="1:15" s="257" customFormat="1">
      <c r="A14" s="457">
        <v>46083</v>
      </c>
      <c r="B14" s="242" t="s">
        <v>1025</v>
      </c>
      <c r="C14" s="170" t="s">
        <v>337</v>
      </c>
      <c r="D14" s="242" t="s">
        <v>259</v>
      </c>
      <c r="E14" s="242">
        <v>1000</v>
      </c>
      <c r="F14" s="454">
        <f t="shared" si="0"/>
        <v>1.867727535907062</v>
      </c>
      <c r="G14" s="239">
        <v>535.41</v>
      </c>
      <c r="H14" s="242" t="s">
        <v>122</v>
      </c>
      <c r="I14" s="242" t="s">
        <v>594</v>
      </c>
      <c r="J14" s="170" t="s">
        <v>96</v>
      </c>
      <c r="K14" s="170" t="s">
        <v>345</v>
      </c>
      <c r="L14" s="170" t="s">
        <v>113</v>
      </c>
      <c r="M14" s="75"/>
      <c r="N14" s="75"/>
      <c r="O14" s="75"/>
    </row>
    <row r="15" spans="1:15" s="257" customFormat="1">
      <c r="A15" s="457">
        <v>46083</v>
      </c>
      <c r="B15" s="242" t="s">
        <v>1025</v>
      </c>
      <c r="C15" s="170" t="s">
        <v>337</v>
      </c>
      <c r="D15" s="242" t="s">
        <v>259</v>
      </c>
      <c r="E15" s="242">
        <v>1000</v>
      </c>
      <c r="F15" s="454">
        <f t="shared" si="0"/>
        <v>1.867727535907062</v>
      </c>
      <c r="G15" s="239">
        <v>535.41</v>
      </c>
      <c r="H15" s="242" t="s">
        <v>122</v>
      </c>
      <c r="I15" s="242" t="s">
        <v>594</v>
      </c>
      <c r="J15" s="170" t="s">
        <v>96</v>
      </c>
      <c r="K15" s="170" t="s">
        <v>345</v>
      </c>
      <c r="L15" s="170" t="s">
        <v>113</v>
      </c>
      <c r="M15" s="75"/>
      <c r="N15" s="75"/>
      <c r="O15" s="75"/>
    </row>
    <row r="16" spans="1:15" s="257" customFormat="1">
      <c r="A16" s="457">
        <v>46083</v>
      </c>
      <c r="B16" s="242" t="s">
        <v>1050</v>
      </c>
      <c r="C16" s="242" t="s">
        <v>541</v>
      </c>
      <c r="D16" s="242" t="s">
        <v>259</v>
      </c>
      <c r="E16" s="242">
        <v>2000</v>
      </c>
      <c r="F16" s="454">
        <f t="shared" si="0"/>
        <v>3.735455071814124</v>
      </c>
      <c r="G16" s="239">
        <v>535.41</v>
      </c>
      <c r="H16" s="242" t="s">
        <v>122</v>
      </c>
      <c r="I16" s="242" t="s">
        <v>596</v>
      </c>
      <c r="J16" s="170" t="s">
        <v>96</v>
      </c>
      <c r="K16" s="170" t="s">
        <v>345</v>
      </c>
      <c r="L16" s="170" t="s">
        <v>113</v>
      </c>
      <c r="M16" s="75"/>
      <c r="N16" s="75"/>
      <c r="O16" s="75"/>
    </row>
    <row r="17" spans="1:15" s="257" customFormat="1">
      <c r="A17" s="457">
        <v>46083</v>
      </c>
      <c r="B17" s="242" t="s">
        <v>1045</v>
      </c>
      <c r="C17" s="242" t="s">
        <v>402</v>
      </c>
      <c r="D17" s="242" t="s">
        <v>259</v>
      </c>
      <c r="E17" s="242">
        <v>8000</v>
      </c>
      <c r="F17" s="454">
        <f t="shared" si="0"/>
        <v>14.941820287256496</v>
      </c>
      <c r="G17" s="239">
        <v>535.41</v>
      </c>
      <c r="H17" s="242" t="s">
        <v>122</v>
      </c>
      <c r="I17" s="242" t="s">
        <v>597</v>
      </c>
      <c r="J17" s="170" t="s">
        <v>96</v>
      </c>
      <c r="K17" s="170" t="s">
        <v>345</v>
      </c>
      <c r="L17" s="170" t="s">
        <v>113</v>
      </c>
      <c r="M17" s="75"/>
      <c r="N17" s="75"/>
      <c r="O17" s="75"/>
    </row>
    <row r="18" spans="1:15" s="257" customFormat="1">
      <c r="A18" s="457">
        <v>46083</v>
      </c>
      <c r="B18" s="242" t="s">
        <v>1046</v>
      </c>
      <c r="C18" s="242" t="s">
        <v>406</v>
      </c>
      <c r="D18" s="242" t="s">
        <v>259</v>
      </c>
      <c r="E18" s="242">
        <v>50000</v>
      </c>
      <c r="F18" s="454">
        <f t="shared" si="0"/>
        <v>93.386376795353101</v>
      </c>
      <c r="G18" s="239">
        <v>535.41</v>
      </c>
      <c r="H18" s="242" t="s">
        <v>122</v>
      </c>
      <c r="I18" s="242" t="s">
        <v>625</v>
      </c>
      <c r="J18" s="170" t="s">
        <v>96</v>
      </c>
      <c r="K18" s="170" t="s">
        <v>345</v>
      </c>
      <c r="L18" s="170" t="s">
        <v>113</v>
      </c>
      <c r="M18" s="75"/>
      <c r="N18" s="75"/>
      <c r="O18" s="75"/>
    </row>
    <row r="19" spans="1:15" s="257" customFormat="1">
      <c r="A19" s="457">
        <v>46083</v>
      </c>
      <c r="B19" s="242" t="s">
        <v>1029</v>
      </c>
      <c r="C19" s="170" t="s">
        <v>337</v>
      </c>
      <c r="D19" s="242" t="s">
        <v>259</v>
      </c>
      <c r="E19" s="242">
        <v>1000</v>
      </c>
      <c r="F19" s="454">
        <f t="shared" si="0"/>
        <v>1.867727535907062</v>
      </c>
      <c r="G19" s="239">
        <v>535.41</v>
      </c>
      <c r="H19" s="242" t="s">
        <v>122</v>
      </c>
      <c r="I19" s="242" t="s">
        <v>594</v>
      </c>
      <c r="J19" s="170" t="s">
        <v>96</v>
      </c>
      <c r="K19" s="170" t="s">
        <v>345</v>
      </c>
      <c r="L19" s="170" t="s">
        <v>113</v>
      </c>
      <c r="M19" s="75"/>
      <c r="N19" s="75"/>
      <c r="O19" s="75"/>
    </row>
    <row r="20" spans="1:15" s="257" customFormat="1">
      <c r="A20" s="457">
        <v>46083</v>
      </c>
      <c r="B20" s="242" t="s">
        <v>1031</v>
      </c>
      <c r="C20" s="170" t="s">
        <v>337</v>
      </c>
      <c r="D20" s="242" t="s">
        <v>259</v>
      </c>
      <c r="E20" s="242">
        <v>500</v>
      </c>
      <c r="F20" s="454">
        <f t="shared" si="0"/>
        <v>0.93386376795353099</v>
      </c>
      <c r="G20" s="239">
        <v>535.41</v>
      </c>
      <c r="H20" s="242" t="s">
        <v>122</v>
      </c>
      <c r="I20" s="242" t="s">
        <v>594</v>
      </c>
      <c r="J20" s="170" t="s">
        <v>96</v>
      </c>
      <c r="K20" s="170" t="s">
        <v>345</v>
      </c>
      <c r="L20" s="170" t="s">
        <v>113</v>
      </c>
      <c r="M20" s="75"/>
      <c r="N20" s="75"/>
      <c r="O20" s="75"/>
    </row>
    <row r="21" spans="1:15" s="257" customFormat="1">
      <c r="A21" s="457">
        <v>46083</v>
      </c>
      <c r="B21" s="242" t="s">
        <v>1027</v>
      </c>
      <c r="C21" s="170" t="s">
        <v>337</v>
      </c>
      <c r="D21" s="242" t="s">
        <v>259</v>
      </c>
      <c r="E21" s="242">
        <v>500</v>
      </c>
      <c r="F21" s="454">
        <f t="shared" si="0"/>
        <v>0.93386376795353099</v>
      </c>
      <c r="G21" s="239">
        <v>535.41</v>
      </c>
      <c r="H21" s="242" t="s">
        <v>122</v>
      </c>
      <c r="I21" s="242" t="s">
        <v>594</v>
      </c>
      <c r="J21" s="170" t="s">
        <v>96</v>
      </c>
      <c r="K21" s="170" t="s">
        <v>345</v>
      </c>
      <c r="L21" s="170" t="s">
        <v>113</v>
      </c>
      <c r="M21" s="75"/>
      <c r="N21" s="75"/>
      <c r="O21" s="75"/>
    </row>
    <row r="22" spans="1:15" s="257" customFormat="1">
      <c r="A22" s="457">
        <v>46083</v>
      </c>
      <c r="B22" s="242" t="s">
        <v>1027</v>
      </c>
      <c r="C22" s="170" t="s">
        <v>337</v>
      </c>
      <c r="D22" s="242" t="s">
        <v>259</v>
      </c>
      <c r="E22" s="242">
        <v>500</v>
      </c>
      <c r="F22" s="454">
        <f t="shared" si="0"/>
        <v>0.93386376795353099</v>
      </c>
      <c r="G22" s="239">
        <v>535.41</v>
      </c>
      <c r="H22" s="242" t="s">
        <v>122</v>
      </c>
      <c r="I22" s="242" t="s">
        <v>594</v>
      </c>
      <c r="J22" s="170" t="s">
        <v>96</v>
      </c>
      <c r="K22" s="170" t="s">
        <v>345</v>
      </c>
      <c r="L22" s="170" t="s">
        <v>113</v>
      </c>
      <c r="M22" s="75"/>
      <c r="N22" s="75"/>
      <c r="O22" s="75"/>
    </row>
    <row r="23" spans="1:15" s="257" customFormat="1">
      <c r="A23" s="457">
        <v>46083</v>
      </c>
      <c r="B23" s="242" t="s">
        <v>1025</v>
      </c>
      <c r="C23" s="170" t="s">
        <v>337</v>
      </c>
      <c r="D23" s="242" t="s">
        <v>259</v>
      </c>
      <c r="E23" s="242">
        <v>1000</v>
      </c>
      <c r="F23" s="454">
        <f t="shared" si="0"/>
        <v>1.867727535907062</v>
      </c>
      <c r="G23" s="239">
        <v>535.41</v>
      </c>
      <c r="H23" s="242" t="s">
        <v>131</v>
      </c>
      <c r="I23" s="242" t="s">
        <v>653</v>
      </c>
      <c r="J23" s="170" t="s">
        <v>96</v>
      </c>
      <c r="K23" s="170" t="s">
        <v>345</v>
      </c>
      <c r="L23" s="170" t="s">
        <v>113</v>
      </c>
      <c r="M23" s="75"/>
      <c r="N23" s="75"/>
      <c r="O23" s="75"/>
    </row>
    <row r="24" spans="1:15" s="257" customFormat="1">
      <c r="A24" s="453">
        <v>46083</v>
      </c>
      <c r="B24" s="170" t="s">
        <v>1028</v>
      </c>
      <c r="C24" s="242" t="s">
        <v>402</v>
      </c>
      <c r="D24" s="170" t="s">
        <v>259</v>
      </c>
      <c r="E24" s="170">
        <v>9000</v>
      </c>
      <c r="F24" s="454">
        <f t="shared" si="0"/>
        <v>16.809547823163559</v>
      </c>
      <c r="G24" s="239">
        <v>535.41</v>
      </c>
      <c r="H24" s="170" t="s">
        <v>131</v>
      </c>
      <c r="I24" s="170" t="s">
        <v>654</v>
      </c>
      <c r="J24" s="170" t="s">
        <v>96</v>
      </c>
      <c r="K24" s="170" t="s">
        <v>345</v>
      </c>
      <c r="L24" s="170" t="s">
        <v>113</v>
      </c>
      <c r="M24" s="75"/>
      <c r="N24" s="75"/>
      <c r="O24" s="75"/>
    </row>
    <row r="25" spans="1:15" s="257" customFormat="1">
      <c r="A25" s="457">
        <v>46083</v>
      </c>
      <c r="B25" s="242" t="s">
        <v>1025</v>
      </c>
      <c r="C25" s="170" t="s">
        <v>337</v>
      </c>
      <c r="D25" s="242" t="s">
        <v>259</v>
      </c>
      <c r="E25" s="242">
        <v>1000</v>
      </c>
      <c r="F25" s="454">
        <f t="shared" si="0"/>
        <v>1.867727535907062</v>
      </c>
      <c r="G25" s="239">
        <v>535.41</v>
      </c>
      <c r="H25" s="242" t="s">
        <v>131</v>
      </c>
      <c r="I25" s="242" t="s">
        <v>653</v>
      </c>
      <c r="J25" s="170" t="s">
        <v>96</v>
      </c>
      <c r="K25" s="170" t="s">
        <v>345</v>
      </c>
      <c r="L25" s="170" t="s">
        <v>113</v>
      </c>
      <c r="M25" s="75"/>
      <c r="N25" s="75"/>
      <c r="O25" s="75"/>
    </row>
    <row r="26" spans="1:15" s="257" customFormat="1">
      <c r="A26" s="457">
        <v>46083</v>
      </c>
      <c r="B26" s="242" t="s">
        <v>1025</v>
      </c>
      <c r="C26" s="170" t="s">
        <v>337</v>
      </c>
      <c r="D26" s="242" t="s">
        <v>259</v>
      </c>
      <c r="E26" s="242">
        <v>1000</v>
      </c>
      <c r="F26" s="454">
        <f t="shared" si="0"/>
        <v>1.867727535907062</v>
      </c>
      <c r="G26" s="239">
        <v>535.41</v>
      </c>
      <c r="H26" s="242" t="s">
        <v>131</v>
      </c>
      <c r="I26" s="242" t="s">
        <v>653</v>
      </c>
      <c r="J26" s="170" t="s">
        <v>96</v>
      </c>
      <c r="K26" s="170" t="s">
        <v>345</v>
      </c>
      <c r="L26" s="170" t="s">
        <v>113</v>
      </c>
      <c r="M26" s="75"/>
      <c r="N26" s="75"/>
      <c r="O26" s="75"/>
    </row>
    <row r="27" spans="1:15" s="257" customFormat="1">
      <c r="A27" s="457">
        <v>46083</v>
      </c>
      <c r="B27" s="242" t="s">
        <v>1025</v>
      </c>
      <c r="C27" s="170" t="s">
        <v>337</v>
      </c>
      <c r="D27" s="242" t="s">
        <v>259</v>
      </c>
      <c r="E27" s="242">
        <v>1500</v>
      </c>
      <c r="F27" s="454">
        <f t="shared" si="0"/>
        <v>2.8015913038605929</v>
      </c>
      <c r="G27" s="239">
        <v>535.41</v>
      </c>
      <c r="H27" s="242" t="s">
        <v>131</v>
      </c>
      <c r="I27" s="242" t="s">
        <v>653</v>
      </c>
      <c r="J27" s="170" t="s">
        <v>96</v>
      </c>
      <c r="K27" s="170" t="s">
        <v>345</v>
      </c>
      <c r="L27" s="170" t="s">
        <v>113</v>
      </c>
      <c r="M27" s="75"/>
      <c r="N27" s="75"/>
      <c r="O27" s="75"/>
    </row>
    <row r="28" spans="1:15" s="257" customFormat="1">
      <c r="A28" s="453">
        <v>46083</v>
      </c>
      <c r="B28" s="170" t="s">
        <v>646</v>
      </c>
      <c r="C28" s="170" t="s">
        <v>110</v>
      </c>
      <c r="D28" s="170" t="s">
        <v>259</v>
      </c>
      <c r="E28" s="170">
        <v>7500</v>
      </c>
      <c r="F28" s="454">
        <f t="shared" si="0"/>
        <v>14.007956519302965</v>
      </c>
      <c r="G28" s="239">
        <v>535.41</v>
      </c>
      <c r="H28" s="170" t="s">
        <v>131</v>
      </c>
      <c r="I28" s="170" t="s">
        <v>655</v>
      </c>
      <c r="J28" s="170" t="s">
        <v>96</v>
      </c>
      <c r="K28" s="170" t="s">
        <v>345</v>
      </c>
      <c r="L28" s="170" t="s">
        <v>113</v>
      </c>
      <c r="M28" s="75"/>
      <c r="N28" s="75"/>
      <c r="O28" s="75"/>
    </row>
    <row r="29" spans="1:15" s="257" customFormat="1">
      <c r="A29" s="450">
        <v>46083</v>
      </c>
      <c r="B29" s="243" t="s">
        <v>279</v>
      </c>
      <c r="C29" s="248" t="s">
        <v>280</v>
      </c>
      <c r="D29" s="249" t="s">
        <v>97</v>
      </c>
      <c r="E29" s="298">
        <v>150000</v>
      </c>
      <c r="F29" s="454">
        <f t="shared" si="0"/>
        <v>280.1591303860593</v>
      </c>
      <c r="G29" s="239">
        <v>535.41</v>
      </c>
      <c r="H29" s="242" t="s">
        <v>107</v>
      </c>
      <c r="I29" s="242" t="s">
        <v>949</v>
      </c>
      <c r="J29" s="170" t="s">
        <v>96</v>
      </c>
      <c r="K29" s="170" t="s">
        <v>345</v>
      </c>
      <c r="L29" s="170" t="s">
        <v>113</v>
      </c>
      <c r="M29" s="75"/>
      <c r="N29" s="75"/>
      <c r="O29" s="75"/>
    </row>
    <row r="30" spans="1:15" s="257" customFormat="1">
      <c r="A30" s="450">
        <v>46083</v>
      </c>
      <c r="B30" s="350" t="s">
        <v>1009</v>
      </c>
      <c r="C30" s="350" t="s">
        <v>103</v>
      </c>
      <c r="D30" s="350" t="s">
        <v>98</v>
      </c>
      <c r="E30" s="245">
        <v>500000</v>
      </c>
      <c r="F30" s="454">
        <f t="shared" si="0"/>
        <v>933.86376795353101</v>
      </c>
      <c r="G30" s="239">
        <v>535.41</v>
      </c>
      <c r="H30" s="242" t="s">
        <v>107</v>
      </c>
      <c r="I30" s="242" t="s">
        <v>950</v>
      </c>
      <c r="J30" s="170" t="s">
        <v>96</v>
      </c>
      <c r="K30" s="170" t="s">
        <v>345</v>
      </c>
      <c r="L30" s="170" t="s">
        <v>113</v>
      </c>
      <c r="M30" s="75"/>
      <c r="N30" s="75"/>
      <c r="O30" s="75"/>
    </row>
    <row r="31" spans="1:15" s="257" customFormat="1">
      <c r="A31" s="450">
        <v>46083</v>
      </c>
      <c r="B31" s="350" t="s">
        <v>1006</v>
      </c>
      <c r="C31" s="350" t="s">
        <v>130</v>
      </c>
      <c r="D31" s="350" t="s">
        <v>98</v>
      </c>
      <c r="E31" s="245">
        <v>260000</v>
      </c>
      <c r="F31" s="454">
        <f t="shared" si="0"/>
        <v>485.60915933583613</v>
      </c>
      <c r="G31" s="239">
        <v>535.41</v>
      </c>
      <c r="H31" s="242" t="s">
        <v>107</v>
      </c>
      <c r="I31" s="242" t="s">
        <v>951</v>
      </c>
      <c r="J31" s="170" t="s">
        <v>96</v>
      </c>
      <c r="K31" s="170" t="s">
        <v>345</v>
      </c>
      <c r="L31" s="170" t="s">
        <v>113</v>
      </c>
      <c r="M31" s="75"/>
      <c r="N31" s="75"/>
      <c r="O31" s="75"/>
    </row>
    <row r="32" spans="1:15" s="257" customFormat="1">
      <c r="A32" s="457">
        <v>46084</v>
      </c>
      <c r="B32" s="242" t="s">
        <v>186</v>
      </c>
      <c r="C32" s="170" t="s">
        <v>337</v>
      </c>
      <c r="D32" s="458" t="s">
        <v>99</v>
      </c>
      <c r="E32" s="242">
        <v>1000</v>
      </c>
      <c r="F32" s="454">
        <f t="shared" si="0"/>
        <v>1.8771635173931283</v>
      </c>
      <c r="G32" s="239">
        <v>532.71864210781655</v>
      </c>
      <c r="H32" s="459" t="s">
        <v>111</v>
      </c>
      <c r="I32" s="170" t="s">
        <v>380</v>
      </c>
      <c r="J32" s="170" t="s">
        <v>96</v>
      </c>
      <c r="K32" s="170" t="s">
        <v>345</v>
      </c>
      <c r="L32" s="170" t="s">
        <v>113</v>
      </c>
      <c r="M32" s="361"/>
      <c r="N32" s="361"/>
      <c r="O32" s="247"/>
    </row>
    <row r="33" spans="1:15" s="257" customFormat="1">
      <c r="A33" s="457">
        <v>46084</v>
      </c>
      <c r="B33" s="242" t="s">
        <v>351</v>
      </c>
      <c r="C33" s="170" t="s">
        <v>337</v>
      </c>
      <c r="D33" s="458" t="s">
        <v>99</v>
      </c>
      <c r="E33" s="242">
        <v>1000</v>
      </c>
      <c r="F33" s="454">
        <f t="shared" si="0"/>
        <v>1.8771635173931283</v>
      </c>
      <c r="G33" s="239">
        <v>532.71864210781655</v>
      </c>
      <c r="H33" s="459" t="s">
        <v>111</v>
      </c>
      <c r="I33" s="170" t="s">
        <v>380</v>
      </c>
      <c r="J33" s="170" t="s">
        <v>96</v>
      </c>
      <c r="K33" s="170" t="s">
        <v>345</v>
      </c>
      <c r="L33" s="170" t="s">
        <v>113</v>
      </c>
      <c r="M33" s="361"/>
      <c r="N33" s="361"/>
      <c r="O33" s="124"/>
    </row>
    <row r="34" spans="1:15" s="257" customFormat="1">
      <c r="A34" s="457">
        <v>46084</v>
      </c>
      <c r="B34" s="242" t="s">
        <v>352</v>
      </c>
      <c r="C34" s="170" t="s">
        <v>337</v>
      </c>
      <c r="D34" s="458" t="s">
        <v>99</v>
      </c>
      <c r="E34" s="242">
        <v>1000</v>
      </c>
      <c r="F34" s="454">
        <f t="shared" si="0"/>
        <v>1.8771635173931283</v>
      </c>
      <c r="G34" s="239">
        <v>532.71864210781655</v>
      </c>
      <c r="H34" s="459" t="s">
        <v>111</v>
      </c>
      <c r="I34" s="170" t="s">
        <v>380</v>
      </c>
      <c r="J34" s="170" t="s">
        <v>96</v>
      </c>
      <c r="K34" s="170" t="s">
        <v>345</v>
      </c>
      <c r="L34" s="170" t="s">
        <v>113</v>
      </c>
      <c r="M34" s="361"/>
      <c r="N34" s="361"/>
      <c r="O34" s="124"/>
    </row>
    <row r="35" spans="1:15" s="257" customFormat="1">
      <c r="A35" s="457">
        <v>46084</v>
      </c>
      <c r="B35" s="242" t="s">
        <v>187</v>
      </c>
      <c r="C35" s="170" t="s">
        <v>337</v>
      </c>
      <c r="D35" s="458" t="s">
        <v>99</v>
      </c>
      <c r="E35" s="242">
        <v>1000</v>
      </c>
      <c r="F35" s="454">
        <f t="shared" si="0"/>
        <v>1.8771635173931283</v>
      </c>
      <c r="G35" s="239">
        <v>532.71864210781655</v>
      </c>
      <c r="H35" s="459" t="s">
        <v>111</v>
      </c>
      <c r="I35" s="170" t="s">
        <v>380</v>
      </c>
      <c r="J35" s="170" t="s">
        <v>96</v>
      </c>
      <c r="K35" s="170" t="s">
        <v>345</v>
      </c>
      <c r="L35" s="170" t="s">
        <v>113</v>
      </c>
      <c r="M35" s="361"/>
      <c r="N35" s="361"/>
      <c r="O35" s="124"/>
    </row>
    <row r="36" spans="1:15" s="257" customFormat="1">
      <c r="A36" s="467">
        <v>46084</v>
      </c>
      <c r="B36" s="242" t="s">
        <v>441</v>
      </c>
      <c r="C36" s="170" t="s">
        <v>337</v>
      </c>
      <c r="D36" s="242" t="s">
        <v>98</v>
      </c>
      <c r="E36" s="298">
        <v>1000</v>
      </c>
      <c r="F36" s="454">
        <f t="shared" si="0"/>
        <v>1.867727535907062</v>
      </c>
      <c r="G36" s="239">
        <v>535.41</v>
      </c>
      <c r="H36" s="242" t="s">
        <v>168</v>
      </c>
      <c r="I36" s="242" t="s">
        <v>510</v>
      </c>
      <c r="J36" s="170" t="s">
        <v>96</v>
      </c>
      <c r="K36" s="170" t="s">
        <v>345</v>
      </c>
      <c r="L36" s="170" t="s">
        <v>113</v>
      </c>
      <c r="M36" s="75"/>
      <c r="N36" s="75"/>
      <c r="O36" s="75"/>
    </row>
    <row r="37" spans="1:15" s="257" customFormat="1">
      <c r="A37" s="467">
        <v>46084</v>
      </c>
      <c r="B37" s="242" t="s">
        <v>327</v>
      </c>
      <c r="C37" s="170" t="s">
        <v>337</v>
      </c>
      <c r="D37" s="242" t="s">
        <v>98</v>
      </c>
      <c r="E37" s="298">
        <v>1000</v>
      </c>
      <c r="F37" s="454">
        <f t="shared" si="0"/>
        <v>1.867727535907062</v>
      </c>
      <c r="G37" s="239">
        <v>535.41</v>
      </c>
      <c r="H37" s="242" t="s">
        <v>168</v>
      </c>
      <c r="I37" s="242" t="s">
        <v>510</v>
      </c>
      <c r="J37" s="170" t="s">
        <v>96</v>
      </c>
      <c r="K37" s="170" t="s">
        <v>345</v>
      </c>
      <c r="L37" s="170" t="s">
        <v>113</v>
      </c>
      <c r="M37" s="75"/>
      <c r="N37" s="75"/>
      <c r="O37" s="75"/>
    </row>
    <row r="38" spans="1:15" s="257" customFormat="1">
      <c r="A38" s="457">
        <v>46084</v>
      </c>
      <c r="B38" s="242" t="s">
        <v>1030</v>
      </c>
      <c r="C38" s="242" t="s">
        <v>542</v>
      </c>
      <c r="D38" s="242" t="s">
        <v>259</v>
      </c>
      <c r="E38" s="242">
        <v>50000</v>
      </c>
      <c r="F38" s="454">
        <f t="shared" si="0"/>
        <v>93.386376795353101</v>
      </c>
      <c r="G38" s="239">
        <v>535.41</v>
      </c>
      <c r="H38" s="242" t="s">
        <v>131</v>
      </c>
      <c r="I38" s="242" t="s">
        <v>656</v>
      </c>
      <c r="J38" s="170" t="s">
        <v>96</v>
      </c>
      <c r="K38" s="170" t="s">
        <v>345</v>
      </c>
      <c r="L38" s="170" t="s">
        <v>113</v>
      </c>
      <c r="M38" s="75"/>
      <c r="N38" s="75"/>
      <c r="O38" s="75"/>
    </row>
    <row r="39" spans="1:15" s="257" customFormat="1">
      <c r="A39" s="457">
        <v>46084</v>
      </c>
      <c r="B39" s="242" t="s">
        <v>1025</v>
      </c>
      <c r="C39" s="170" t="s">
        <v>337</v>
      </c>
      <c r="D39" s="242" t="s">
        <v>259</v>
      </c>
      <c r="E39" s="242">
        <v>2000</v>
      </c>
      <c r="F39" s="454">
        <f t="shared" si="0"/>
        <v>3.735455071814124</v>
      </c>
      <c r="G39" s="239">
        <v>535.41</v>
      </c>
      <c r="H39" s="242" t="s">
        <v>131</v>
      </c>
      <c r="I39" s="242" t="s">
        <v>653</v>
      </c>
      <c r="J39" s="170" t="s">
        <v>96</v>
      </c>
      <c r="K39" s="170" t="s">
        <v>345</v>
      </c>
      <c r="L39" s="170" t="s">
        <v>113</v>
      </c>
      <c r="M39" s="75"/>
      <c r="N39" s="75"/>
      <c r="O39" s="75"/>
    </row>
    <row r="40" spans="1:15" s="257" customFormat="1">
      <c r="A40" s="457">
        <v>46084</v>
      </c>
      <c r="B40" s="242" t="s">
        <v>1025</v>
      </c>
      <c r="C40" s="170" t="s">
        <v>337</v>
      </c>
      <c r="D40" s="242" t="s">
        <v>259</v>
      </c>
      <c r="E40" s="242">
        <v>500</v>
      </c>
      <c r="F40" s="454">
        <f t="shared" si="0"/>
        <v>0.93386376795353099</v>
      </c>
      <c r="G40" s="239">
        <v>535.41</v>
      </c>
      <c r="H40" s="242" t="s">
        <v>131</v>
      </c>
      <c r="I40" s="242" t="s">
        <v>653</v>
      </c>
      <c r="J40" s="170" t="s">
        <v>96</v>
      </c>
      <c r="K40" s="170" t="s">
        <v>345</v>
      </c>
      <c r="L40" s="170" t="s">
        <v>113</v>
      </c>
      <c r="M40" s="75"/>
      <c r="N40" s="75"/>
      <c r="O40" s="75"/>
    </row>
    <row r="41" spans="1:15" s="257" customFormat="1">
      <c r="A41" s="453">
        <v>46084</v>
      </c>
      <c r="B41" s="170" t="s">
        <v>1028</v>
      </c>
      <c r="C41" s="242" t="s">
        <v>402</v>
      </c>
      <c r="D41" s="170" t="s">
        <v>259</v>
      </c>
      <c r="E41" s="170">
        <v>5000</v>
      </c>
      <c r="F41" s="454">
        <f t="shared" si="0"/>
        <v>9.3386376795353101</v>
      </c>
      <c r="G41" s="239">
        <v>535.41</v>
      </c>
      <c r="H41" s="170" t="s">
        <v>131</v>
      </c>
      <c r="I41" s="170" t="s">
        <v>657</v>
      </c>
      <c r="J41" s="170" t="s">
        <v>96</v>
      </c>
      <c r="K41" s="170" t="s">
        <v>345</v>
      </c>
      <c r="L41" s="170" t="s">
        <v>113</v>
      </c>
      <c r="M41" s="75"/>
      <c r="N41" s="75"/>
      <c r="O41" s="75"/>
    </row>
    <row r="42" spans="1:15" s="257" customFormat="1">
      <c r="A42" s="457">
        <v>46084</v>
      </c>
      <c r="B42" s="242" t="s">
        <v>1027</v>
      </c>
      <c r="C42" s="170" t="s">
        <v>337</v>
      </c>
      <c r="D42" s="242" t="s">
        <v>259</v>
      </c>
      <c r="E42" s="242">
        <v>500</v>
      </c>
      <c r="F42" s="454">
        <f t="shared" si="0"/>
        <v>0.93386376795353099</v>
      </c>
      <c r="G42" s="239">
        <v>535.41</v>
      </c>
      <c r="H42" s="242" t="s">
        <v>131</v>
      </c>
      <c r="I42" s="242" t="s">
        <v>653</v>
      </c>
      <c r="J42" s="170" t="s">
        <v>96</v>
      </c>
      <c r="K42" s="170" t="s">
        <v>345</v>
      </c>
      <c r="L42" s="170" t="s">
        <v>113</v>
      </c>
      <c r="M42" s="75"/>
      <c r="N42" s="75"/>
      <c r="O42" s="75"/>
    </row>
    <row r="43" spans="1:15" s="257" customFormat="1">
      <c r="A43" s="457">
        <v>46084</v>
      </c>
      <c r="B43" s="242" t="s">
        <v>1027</v>
      </c>
      <c r="C43" s="170" t="s">
        <v>337</v>
      </c>
      <c r="D43" s="242" t="s">
        <v>259</v>
      </c>
      <c r="E43" s="242">
        <v>500</v>
      </c>
      <c r="F43" s="454">
        <f t="shared" si="0"/>
        <v>0.93386376795353099</v>
      </c>
      <c r="G43" s="239">
        <v>535.41</v>
      </c>
      <c r="H43" s="242" t="s">
        <v>131</v>
      </c>
      <c r="I43" s="242" t="s">
        <v>653</v>
      </c>
      <c r="J43" s="170" t="s">
        <v>96</v>
      </c>
      <c r="K43" s="170" t="s">
        <v>345</v>
      </c>
      <c r="L43" s="170" t="s">
        <v>113</v>
      </c>
      <c r="M43" s="75"/>
      <c r="N43" s="75"/>
      <c r="O43" s="75"/>
    </row>
    <row r="44" spans="1:15" s="257" customFormat="1">
      <c r="A44" s="457">
        <v>46085</v>
      </c>
      <c r="B44" s="242" t="s">
        <v>186</v>
      </c>
      <c r="C44" s="170" t="s">
        <v>337</v>
      </c>
      <c r="D44" s="458" t="s">
        <v>99</v>
      </c>
      <c r="E44" s="242">
        <v>1000</v>
      </c>
      <c r="F44" s="454">
        <f t="shared" si="0"/>
        <v>1.8771635173931283</v>
      </c>
      <c r="G44" s="239">
        <v>532.71864210781655</v>
      </c>
      <c r="H44" s="459" t="s">
        <v>111</v>
      </c>
      <c r="I44" s="170" t="s">
        <v>380</v>
      </c>
      <c r="J44" s="170" t="s">
        <v>96</v>
      </c>
      <c r="K44" s="170" t="s">
        <v>345</v>
      </c>
      <c r="L44" s="170" t="s">
        <v>113</v>
      </c>
      <c r="M44" s="361"/>
      <c r="N44" s="361"/>
      <c r="O44" s="247"/>
    </row>
    <row r="45" spans="1:15" s="257" customFormat="1">
      <c r="A45" s="457">
        <v>46085</v>
      </c>
      <c r="B45" s="242" t="s">
        <v>193</v>
      </c>
      <c r="C45" s="170" t="s">
        <v>337</v>
      </c>
      <c r="D45" s="458" t="s">
        <v>99</v>
      </c>
      <c r="E45" s="242">
        <v>1000</v>
      </c>
      <c r="F45" s="454">
        <f t="shared" si="0"/>
        <v>1.9254803020356539</v>
      </c>
      <c r="G45" s="239">
        <v>519.35093749999999</v>
      </c>
      <c r="H45" s="459" t="s">
        <v>111</v>
      </c>
      <c r="I45" s="170" t="s">
        <v>380</v>
      </c>
      <c r="J45" s="170" t="s">
        <v>96</v>
      </c>
      <c r="K45" s="170" t="s">
        <v>345</v>
      </c>
      <c r="L45" s="170" t="s">
        <v>113</v>
      </c>
      <c r="M45" s="361"/>
      <c r="N45" s="361"/>
      <c r="O45" s="124"/>
    </row>
    <row r="46" spans="1:15" s="257" customFormat="1">
      <c r="A46" s="457">
        <v>46085</v>
      </c>
      <c r="B46" s="242" t="s">
        <v>315</v>
      </c>
      <c r="C46" s="170" t="s">
        <v>337</v>
      </c>
      <c r="D46" s="458" t="s">
        <v>99</v>
      </c>
      <c r="E46" s="242">
        <v>1000</v>
      </c>
      <c r="F46" s="454">
        <f t="shared" si="0"/>
        <v>1.9254803020356539</v>
      </c>
      <c r="G46" s="239">
        <v>519.35093749999999</v>
      </c>
      <c r="H46" s="459" t="s">
        <v>111</v>
      </c>
      <c r="I46" s="170" t="s">
        <v>380</v>
      </c>
      <c r="J46" s="170" t="s">
        <v>96</v>
      </c>
      <c r="K46" s="170" t="s">
        <v>345</v>
      </c>
      <c r="L46" s="170" t="s">
        <v>113</v>
      </c>
      <c r="M46" s="361"/>
      <c r="N46" s="361"/>
      <c r="O46" s="124"/>
    </row>
    <row r="47" spans="1:15" s="257" customFormat="1">
      <c r="A47" s="457">
        <v>46085</v>
      </c>
      <c r="B47" s="242" t="s">
        <v>192</v>
      </c>
      <c r="C47" s="170" t="s">
        <v>337</v>
      </c>
      <c r="D47" s="458" t="s">
        <v>99</v>
      </c>
      <c r="E47" s="242">
        <v>1000</v>
      </c>
      <c r="F47" s="454">
        <f t="shared" si="0"/>
        <v>1.9254803020356539</v>
      </c>
      <c r="G47" s="239">
        <v>519.35093749999999</v>
      </c>
      <c r="H47" s="459" t="s">
        <v>111</v>
      </c>
      <c r="I47" s="170" t="s">
        <v>380</v>
      </c>
      <c r="J47" s="170" t="s">
        <v>96</v>
      </c>
      <c r="K47" s="170" t="s">
        <v>345</v>
      </c>
      <c r="L47" s="170" t="s">
        <v>113</v>
      </c>
      <c r="M47" s="361"/>
      <c r="N47" s="361"/>
      <c r="O47" s="124"/>
    </row>
    <row r="48" spans="1:15" s="257" customFormat="1">
      <c r="A48" s="453">
        <v>46085</v>
      </c>
      <c r="B48" s="170" t="s">
        <v>443</v>
      </c>
      <c r="C48" s="170" t="s">
        <v>103</v>
      </c>
      <c r="D48" s="242" t="s">
        <v>98</v>
      </c>
      <c r="E48" s="460">
        <v>12750</v>
      </c>
      <c r="F48" s="454">
        <f t="shared" si="0"/>
        <v>23.813526082815041</v>
      </c>
      <c r="G48" s="239">
        <v>535.41</v>
      </c>
      <c r="H48" s="242" t="s">
        <v>168</v>
      </c>
      <c r="I48" s="170" t="s">
        <v>513</v>
      </c>
      <c r="J48" s="170" t="s">
        <v>96</v>
      </c>
      <c r="K48" s="170" t="s">
        <v>345</v>
      </c>
      <c r="L48" s="170" t="s">
        <v>113</v>
      </c>
      <c r="M48" s="75"/>
      <c r="N48" s="75"/>
      <c r="O48" s="75"/>
    </row>
    <row r="49" spans="1:15" s="257" customFormat="1">
      <c r="A49" s="467">
        <v>46085</v>
      </c>
      <c r="B49" s="242" t="s">
        <v>444</v>
      </c>
      <c r="C49" s="170" t="s">
        <v>337</v>
      </c>
      <c r="D49" s="242" t="s">
        <v>98</v>
      </c>
      <c r="E49" s="298">
        <v>1000</v>
      </c>
      <c r="F49" s="454">
        <f t="shared" si="0"/>
        <v>1.867727535907062</v>
      </c>
      <c r="G49" s="239">
        <v>535.41</v>
      </c>
      <c r="H49" s="242" t="s">
        <v>168</v>
      </c>
      <c r="I49" s="242" t="s">
        <v>510</v>
      </c>
      <c r="J49" s="170" t="s">
        <v>96</v>
      </c>
      <c r="K49" s="170" t="s">
        <v>345</v>
      </c>
      <c r="L49" s="170" t="s">
        <v>113</v>
      </c>
      <c r="M49" s="75"/>
      <c r="N49" s="75"/>
      <c r="O49" s="75"/>
    </row>
    <row r="50" spans="1:15" s="257" customFormat="1">
      <c r="A50" s="467">
        <v>46085</v>
      </c>
      <c r="B50" s="242" t="s">
        <v>445</v>
      </c>
      <c r="C50" s="170" t="s">
        <v>337</v>
      </c>
      <c r="D50" s="242" t="s">
        <v>98</v>
      </c>
      <c r="E50" s="298">
        <v>1000</v>
      </c>
      <c r="F50" s="454">
        <f t="shared" si="0"/>
        <v>1.867727535907062</v>
      </c>
      <c r="G50" s="239">
        <v>535.41</v>
      </c>
      <c r="H50" s="242" t="s">
        <v>168</v>
      </c>
      <c r="I50" s="242" t="s">
        <v>510</v>
      </c>
      <c r="J50" s="170" t="s">
        <v>96</v>
      </c>
      <c r="K50" s="170" t="s">
        <v>345</v>
      </c>
      <c r="L50" s="170" t="s">
        <v>113</v>
      </c>
      <c r="M50" s="75"/>
      <c r="N50" s="75"/>
      <c r="O50" s="75"/>
    </row>
    <row r="51" spans="1:15" s="257" customFormat="1">
      <c r="A51" s="467">
        <v>46085</v>
      </c>
      <c r="B51" s="242" t="s">
        <v>446</v>
      </c>
      <c r="C51" s="170" t="s">
        <v>337</v>
      </c>
      <c r="D51" s="242" t="s">
        <v>98</v>
      </c>
      <c r="E51" s="298">
        <v>1000</v>
      </c>
      <c r="F51" s="454">
        <f t="shared" si="0"/>
        <v>1.867727535907062</v>
      </c>
      <c r="G51" s="239">
        <v>535.41</v>
      </c>
      <c r="H51" s="242" t="s">
        <v>168</v>
      </c>
      <c r="I51" s="242" t="s">
        <v>510</v>
      </c>
      <c r="J51" s="170" t="s">
        <v>96</v>
      </c>
      <c r="K51" s="170" t="s">
        <v>345</v>
      </c>
      <c r="L51" s="170" t="s">
        <v>113</v>
      </c>
      <c r="M51" s="75"/>
      <c r="N51" s="75"/>
      <c r="O51" s="75"/>
    </row>
    <row r="52" spans="1:15" s="257" customFormat="1">
      <c r="A52" s="428">
        <v>46085</v>
      </c>
      <c r="B52" s="165" t="s">
        <v>538</v>
      </c>
      <c r="C52" s="429" t="s">
        <v>110</v>
      </c>
      <c r="D52" s="429" t="s">
        <v>259</v>
      </c>
      <c r="E52" s="429">
        <v>7500</v>
      </c>
      <c r="F52" s="454">
        <f t="shared" si="0"/>
        <v>14.007956519302965</v>
      </c>
      <c r="G52" s="239">
        <v>535.41</v>
      </c>
      <c r="H52" s="429" t="s">
        <v>123</v>
      </c>
      <c r="I52" s="429" t="s">
        <v>549</v>
      </c>
      <c r="J52" s="170" t="s">
        <v>96</v>
      </c>
      <c r="K52" s="170" t="s">
        <v>345</v>
      </c>
      <c r="L52" s="170" t="s">
        <v>113</v>
      </c>
      <c r="M52" s="75"/>
      <c r="N52" s="75"/>
      <c r="O52" s="75"/>
    </row>
    <row r="53" spans="1:15" s="257" customFormat="1">
      <c r="A53" s="457">
        <v>46085</v>
      </c>
      <c r="B53" s="242" t="s">
        <v>1027</v>
      </c>
      <c r="C53" s="170" t="s">
        <v>337</v>
      </c>
      <c r="D53" s="242" t="s">
        <v>259</v>
      </c>
      <c r="E53" s="242">
        <v>500</v>
      </c>
      <c r="F53" s="454">
        <f t="shared" si="0"/>
        <v>0.93386376795353099</v>
      </c>
      <c r="G53" s="239">
        <v>535.41</v>
      </c>
      <c r="H53" s="242" t="s">
        <v>122</v>
      </c>
      <c r="I53" s="242" t="s">
        <v>594</v>
      </c>
      <c r="J53" s="170" t="s">
        <v>96</v>
      </c>
      <c r="K53" s="170" t="s">
        <v>345</v>
      </c>
      <c r="L53" s="170" t="s">
        <v>113</v>
      </c>
      <c r="M53" s="75"/>
      <c r="N53" s="75"/>
      <c r="O53" s="75"/>
    </row>
    <row r="54" spans="1:15" s="257" customFormat="1">
      <c r="A54" s="457">
        <v>46085</v>
      </c>
      <c r="B54" s="242" t="s">
        <v>1031</v>
      </c>
      <c r="C54" s="170" t="s">
        <v>337</v>
      </c>
      <c r="D54" s="242" t="s">
        <v>259</v>
      </c>
      <c r="E54" s="242">
        <v>500</v>
      </c>
      <c r="F54" s="454">
        <f t="shared" si="0"/>
        <v>0.93386376795353099</v>
      </c>
      <c r="G54" s="239">
        <v>535.41</v>
      </c>
      <c r="H54" s="242" t="s">
        <v>122</v>
      </c>
      <c r="I54" s="242" t="s">
        <v>594</v>
      </c>
      <c r="J54" s="170" t="s">
        <v>96</v>
      </c>
      <c r="K54" s="170" t="s">
        <v>345</v>
      </c>
      <c r="L54" s="170" t="s">
        <v>113</v>
      </c>
      <c r="M54" s="75"/>
      <c r="N54" s="75"/>
      <c r="O54" s="75"/>
    </row>
    <row r="55" spans="1:15" s="257" customFormat="1">
      <c r="A55" s="457">
        <v>46085</v>
      </c>
      <c r="B55" s="242" t="s">
        <v>1031</v>
      </c>
      <c r="C55" s="170" t="s">
        <v>337</v>
      </c>
      <c r="D55" s="242" t="s">
        <v>259</v>
      </c>
      <c r="E55" s="242">
        <v>500</v>
      </c>
      <c r="F55" s="454">
        <f t="shared" si="0"/>
        <v>0.93386376795353099</v>
      </c>
      <c r="G55" s="239">
        <v>535.41</v>
      </c>
      <c r="H55" s="242" t="s">
        <v>122</v>
      </c>
      <c r="I55" s="242" t="s">
        <v>594</v>
      </c>
      <c r="J55" s="170" t="s">
        <v>96</v>
      </c>
      <c r="K55" s="170" t="s">
        <v>345</v>
      </c>
      <c r="L55" s="170" t="s">
        <v>113</v>
      </c>
      <c r="M55" s="75"/>
      <c r="N55" s="75"/>
      <c r="O55" s="75"/>
    </row>
    <row r="56" spans="1:15" s="257" customFormat="1">
      <c r="A56" s="457">
        <v>46085</v>
      </c>
      <c r="B56" s="242" t="s">
        <v>1031</v>
      </c>
      <c r="C56" s="170" t="s">
        <v>337</v>
      </c>
      <c r="D56" s="242" t="s">
        <v>259</v>
      </c>
      <c r="E56" s="242">
        <v>500</v>
      </c>
      <c r="F56" s="454">
        <f t="shared" si="0"/>
        <v>0.93386376795353099</v>
      </c>
      <c r="G56" s="239">
        <v>535.41</v>
      </c>
      <c r="H56" s="242" t="s">
        <v>122</v>
      </c>
      <c r="I56" s="242" t="s">
        <v>594</v>
      </c>
      <c r="J56" s="170" t="s">
        <v>96</v>
      </c>
      <c r="K56" s="170" t="s">
        <v>345</v>
      </c>
      <c r="L56" s="170" t="s">
        <v>113</v>
      </c>
      <c r="M56" s="75"/>
      <c r="N56" s="75"/>
      <c r="O56" s="75"/>
    </row>
    <row r="57" spans="1:15" s="257" customFormat="1">
      <c r="A57" s="457">
        <v>46085</v>
      </c>
      <c r="B57" s="242" t="s">
        <v>1031</v>
      </c>
      <c r="C57" s="170" t="s">
        <v>337</v>
      </c>
      <c r="D57" s="242" t="s">
        <v>259</v>
      </c>
      <c r="E57" s="242">
        <v>500</v>
      </c>
      <c r="F57" s="454">
        <f t="shared" si="0"/>
        <v>0.93386376795353099</v>
      </c>
      <c r="G57" s="239">
        <v>535.41</v>
      </c>
      <c r="H57" s="242" t="s">
        <v>122</v>
      </c>
      <c r="I57" s="242" t="s">
        <v>594</v>
      </c>
      <c r="J57" s="170" t="s">
        <v>96</v>
      </c>
      <c r="K57" s="170" t="s">
        <v>345</v>
      </c>
      <c r="L57" s="170" t="s">
        <v>113</v>
      </c>
      <c r="M57" s="75"/>
      <c r="N57" s="75"/>
      <c r="O57" s="75"/>
    </row>
    <row r="58" spans="1:15">
      <c r="A58" s="457">
        <v>46085</v>
      </c>
      <c r="B58" s="242" t="s">
        <v>1027</v>
      </c>
      <c r="C58" s="170" t="s">
        <v>337</v>
      </c>
      <c r="D58" s="242" t="s">
        <v>259</v>
      </c>
      <c r="E58" s="242">
        <v>500</v>
      </c>
      <c r="F58" s="454">
        <f t="shared" si="0"/>
        <v>0.93386376795353099</v>
      </c>
      <c r="G58" s="239">
        <v>535.41</v>
      </c>
      <c r="H58" s="242" t="s">
        <v>122</v>
      </c>
      <c r="I58" s="242" t="s">
        <v>594</v>
      </c>
      <c r="J58" s="170" t="s">
        <v>96</v>
      </c>
      <c r="K58" s="170" t="s">
        <v>345</v>
      </c>
      <c r="L58" s="170" t="s">
        <v>113</v>
      </c>
      <c r="M58" s="75"/>
      <c r="N58" s="75"/>
      <c r="O58" s="75"/>
    </row>
    <row r="59" spans="1:15">
      <c r="A59" s="457">
        <v>46085</v>
      </c>
      <c r="B59" s="242" t="s">
        <v>1027</v>
      </c>
      <c r="C59" s="170" t="s">
        <v>337</v>
      </c>
      <c r="D59" s="242" t="s">
        <v>259</v>
      </c>
      <c r="E59" s="242">
        <v>500</v>
      </c>
      <c r="F59" s="454">
        <f t="shared" si="0"/>
        <v>0.93386376795353099</v>
      </c>
      <c r="G59" s="239">
        <v>535.41</v>
      </c>
      <c r="H59" s="242" t="s">
        <v>122</v>
      </c>
      <c r="I59" s="242" t="s">
        <v>594</v>
      </c>
      <c r="J59" s="170" t="s">
        <v>96</v>
      </c>
      <c r="K59" s="170" t="s">
        <v>345</v>
      </c>
      <c r="L59" s="170" t="s">
        <v>113</v>
      </c>
      <c r="M59" s="75"/>
      <c r="N59" s="75"/>
      <c r="O59" s="75"/>
    </row>
    <row r="60" spans="1:15">
      <c r="A60" s="457">
        <v>46085</v>
      </c>
      <c r="B60" s="242" t="s">
        <v>1087</v>
      </c>
      <c r="C60" s="242" t="s">
        <v>587</v>
      </c>
      <c r="D60" s="242" t="s">
        <v>259</v>
      </c>
      <c r="E60" s="242">
        <v>2000</v>
      </c>
      <c r="F60" s="454">
        <f t="shared" si="0"/>
        <v>3.735455071814124</v>
      </c>
      <c r="G60" s="239">
        <v>535.41</v>
      </c>
      <c r="H60" s="242" t="s">
        <v>122</v>
      </c>
      <c r="I60" s="242" t="s">
        <v>596</v>
      </c>
      <c r="J60" s="170" t="s">
        <v>96</v>
      </c>
      <c r="K60" s="170" t="s">
        <v>345</v>
      </c>
      <c r="L60" s="170" t="s">
        <v>113</v>
      </c>
      <c r="M60" s="75"/>
      <c r="N60" s="75"/>
      <c r="O60" s="75"/>
    </row>
    <row r="61" spans="1:15">
      <c r="A61" s="457">
        <v>46085</v>
      </c>
      <c r="B61" s="242" t="s">
        <v>1031</v>
      </c>
      <c r="C61" s="170" t="s">
        <v>337</v>
      </c>
      <c r="D61" s="242" t="s">
        <v>259</v>
      </c>
      <c r="E61" s="242">
        <v>500</v>
      </c>
      <c r="F61" s="454">
        <f t="shared" si="0"/>
        <v>0.93386376795353099</v>
      </c>
      <c r="G61" s="239">
        <v>535.41</v>
      </c>
      <c r="H61" s="242" t="s">
        <v>131</v>
      </c>
      <c r="I61" s="242" t="s">
        <v>653</v>
      </c>
      <c r="J61" s="170" t="s">
        <v>96</v>
      </c>
      <c r="K61" s="170" t="s">
        <v>345</v>
      </c>
      <c r="L61" s="170" t="s">
        <v>113</v>
      </c>
      <c r="M61" s="75"/>
      <c r="N61" s="75"/>
      <c r="O61" s="75"/>
    </row>
    <row r="62" spans="1:15">
      <c r="A62" s="457">
        <v>46085</v>
      </c>
      <c r="B62" s="242" t="s">
        <v>1027</v>
      </c>
      <c r="C62" s="170" t="s">
        <v>337</v>
      </c>
      <c r="D62" s="242" t="s">
        <v>259</v>
      </c>
      <c r="E62" s="242">
        <v>500</v>
      </c>
      <c r="F62" s="454">
        <f t="shared" si="0"/>
        <v>0.93386376795353099</v>
      </c>
      <c r="G62" s="239">
        <v>535.41</v>
      </c>
      <c r="H62" s="242" t="s">
        <v>131</v>
      </c>
      <c r="I62" s="242" t="s">
        <v>653</v>
      </c>
      <c r="J62" s="170" t="s">
        <v>96</v>
      </c>
      <c r="K62" s="170" t="s">
        <v>345</v>
      </c>
      <c r="L62" s="170" t="s">
        <v>113</v>
      </c>
      <c r="M62" s="75"/>
      <c r="N62" s="75"/>
      <c r="O62" s="75"/>
    </row>
    <row r="63" spans="1:15">
      <c r="A63" s="457">
        <v>46085</v>
      </c>
      <c r="B63" s="242" t="s">
        <v>1041</v>
      </c>
      <c r="C63" s="242" t="s">
        <v>647</v>
      </c>
      <c r="D63" s="242" t="s">
        <v>259</v>
      </c>
      <c r="E63" s="242">
        <v>2000</v>
      </c>
      <c r="F63" s="454">
        <f t="shared" si="0"/>
        <v>3.735455071814124</v>
      </c>
      <c r="G63" s="239">
        <v>535.41</v>
      </c>
      <c r="H63" s="242" t="s">
        <v>131</v>
      </c>
      <c r="I63" s="242" t="s">
        <v>658</v>
      </c>
      <c r="J63" s="170" t="s">
        <v>96</v>
      </c>
      <c r="K63" s="170" t="s">
        <v>345</v>
      </c>
      <c r="L63" s="170" t="s">
        <v>113</v>
      </c>
      <c r="M63" s="75"/>
      <c r="N63" s="75"/>
      <c r="O63" s="75"/>
    </row>
    <row r="64" spans="1:15">
      <c r="A64" s="457">
        <v>46085</v>
      </c>
      <c r="B64" s="242" t="s">
        <v>1027</v>
      </c>
      <c r="C64" s="170" t="s">
        <v>337</v>
      </c>
      <c r="D64" s="242" t="s">
        <v>259</v>
      </c>
      <c r="E64" s="242">
        <v>500</v>
      </c>
      <c r="F64" s="454">
        <f t="shared" si="0"/>
        <v>0.93386376795353099</v>
      </c>
      <c r="G64" s="239">
        <v>535.41</v>
      </c>
      <c r="H64" s="242" t="s">
        <v>131</v>
      </c>
      <c r="I64" s="242" t="s">
        <v>653</v>
      </c>
      <c r="J64" s="170" t="s">
        <v>96</v>
      </c>
      <c r="K64" s="170" t="s">
        <v>345</v>
      </c>
      <c r="L64" s="170" t="s">
        <v>113</v>
      </c>
      <c r="M64" s="75"/>
      <c r="N64" s="75"/>
      <c r="O64" s="75"/>
    </row>
    <row r="65" spans="1:15">
      <c r="A65" s="457">
        <v>46085</v>
      </c>
      <c r="B65" s="242" t="s">
        <v>1027</v>
      </c>
      <c r="C65" s="170" t="s">
        <v>337</v>
      </c>
      <c r="D65" s="242" t="s">
        <v>259</v>
      </c>
      <c r="E65" s="242">
        <v>500</v>
      </c>
      <c r="F65" s="454">
        <f t="shared" si="0"/>
        <v>0.93386376795353099</v>
      </c>
      <c r="G65" s="239">
        <v>535.41</v>
      </c>
      <c r="H65" s="242" t="s">
        <v>131</v>
      </c>
      <c r="I65" s="242" t="s">
        <v>653</v>
      </c>
      <c r="J65" s="170" t="s">
        <v>96</v>
      </c>
      <c r="K65" s="170" t="s">
        <v>345</v>
      </c>
      <c r="L65" s="170" t="s">
        <v>113</v>
      </c>
      <c r="M65" s="75"/>
      <c r="N65" s="75"/>
      <c r="O65" s="75"/>
    </row>
    <row r="66" spans="1:15">
      <c r="A66" s="457">
        <v>46085</v>
      </c>
      <c r="B66" s="242" t="s">
        <v>1027</v>
      </c>
      <c r="C66" s="170" t="s">
        <v>337</v>
      </c>
      <c r="D66" s="242" t="s">
        <v>259</v>
      </c>
      <c r="E66" s="242">
        <v>500</v>
      </c>
      <c r="F66" s="454">
        <f t="shared" ref="F66:F129" si="1">E66/G66</f>
        <v>0.93386376795353099</v>
      </c>
      <c r="G66" s="239">
        <v>535.41</v>
      </c>
      <c r="H66" s="242" t="s">
        <v>131</v>
      </c>
      <c r="I66" s="242" t="s">
        <v>653</v>
      </c>
      <c r="J66" s="170" t="s">
        <v>96</v>
      </c>
      <c r="K66" s="170" t="s">
        <v>345</v>
      </c>
      <c r="L66" s="170" t="s">
        <v>113</v>
      </c>
      <c r="M66" s="75"/>
      <c r="N66" s="75"/>
      <c r="O66" s="75"/>
    </row>
    <row r="67" spans="1:15">
      <c r="A67" s="468">
        <v>46085</v>
      </c>
      <c r="B67" s="170" t="s">
        <v>694</v>
      </c>
      <c r="C67" s="456" t="s">
        <v>110</v>
      </c>
      <c r="D67" s="456" t="s">
        <v>97</v>
      </c>
      <c r="E67" s="367">
        <v>3000</v>
      </c>
      <c r="F67" s="454">
        <f t="shared" si="1"/>
        <v>5.6031826077211857</v>
      </c>
      <c r="G67" s="239">
        <v>535.41</v>
      </c>
      <c r="H67" s="456" t="s">
        <v>134</v>
      </c>
      <c r="I67" s="170" t="s">
        <v>728</v>
      </c>
      <c r="J67" s="170" t="s">
        <v>96</v>
      </c>
      <c r="K67" s="170" t="s">
        <v>345</v>
      </c>
      <c r="L67" s="170" t="s">
        <v>113</v>
      </c>
      <c r="M67" s="75"/>
      <c r="N67" s="75"/>
      <c r="O67" s="75"/>
    </row>
    <row r="68" spans="1:15">
      <c r="A68" s="457">
        <v>46085</v>
      </c>
      <c r="B68" s="462" t="s">
        <v>744</v>
      </c>
      <c r="C68" s="462" t="s">
        <v>110</v>
      </c>
      <c r="D68" s="469" t="s">
        <v>100</v>
      </c>
      <c r="E68" s="299">
        <v>3000</v>
      </c>
      <c r="F68" s="454">
        <f t="shared" si="1"/>
        <v>5.6031826077211857</v>
      </c>
      <c r="G68" s="239">
        <v>535.41</v>
      </c>
      <c r="H68" s="242" t="s">
        <v>129</v>
      </c>
      <c r="I68" s="242" t="s">
        <v>786</v>
      </c>
      <c r="J68" s="170" t="s">
        <v>96</v>
      </c>
      <c r="K68" s="170" t="s">
        <v>345</v>
      </c>
      <c r="L68" s="170" t="s">
        <v>113</v>
      </c>
      <c r="M68" s="75"/>
      <c r="N68" s="75"/>
      <c r="O68" s="75"/>
    </row>
    <row r="69" spans="1:15">
      <c r="A69" s="457">
        <v>46085</v>
      </c>
      <c r="B69" s="242" t="s">
        <v>798</v>
      </c>
      <c r="C69" s="170" t="s">
        <v>337</v>
      </c>
      <c r="D69" s="242" t="s">
        <v>97</v>
      </c>
      <c r="E69" s="242">
        <v>500</v>
      </c>
      <c r="F69" s="454">
        <f t="shared" si="1"/>
        <v>0.93386376795353099</v>
      </c>
      <c r="G69" s="239">
        <v>535.41</v>
      </c>
      <c r="H69" s="242" t="s">
        <v>124</v>
      </c>
      <c r="I69" s="242" t="s">
        <v>836</v>
      </c>
      <c r="J69" s="170" t="s">
        <v>96</v>
      </c>
      <c r="K69" s="170" t="s">
        <v>345</v>
      </c>
      <c r="L69" s="170" t="s">
        <v>113</v>
      </c>
      <c r="M69" s="75"/>
      <c r="N69" s="75"/>
      <c r="O69" s="75"/>
    </row>
    <row r="70" spans="1:15">
      <c r="A70" s="457">
        <v>46085</v>
      </c>
      <c r="B70" s="242" t="s">
        <v>466</v>
      </c>
      <c r="C70" s="170" t="s">
        <v>337</v>
      </c>
      <c r="D70" s="242" t="s">
        <v>97</v>
      </c>
      <c r="E70" s="242">
        <v>500</v>
      </c>
      <c r="F70" s="454">
        <f t="shared" si="1"/>
        <v>0.93386376795353099</v>
      </c>
      <c r="G70" s="239">
        <v>535.41</v>
      </c>
      <c r="H70" s="242" t="s">
        <v>124</v>
      </c>
      <c r="I70" s="242" t="s">
        <v>836</v>
      </c>
      <c r="J70" s="170" t="s">
        <v>96</v>
      </c>
      <c r="K70" s="170" t="s">
        <v>345</v>
      </c>
      <c r="L70" s="170" t="s">
        <v>113</v>
      </c>
      <c r="M70" s="75"/>
      <c r="N70" s="75"/>
      <c r="O70" s="75"/>
    </row>
    <row r="71" spans="1:15">
      <c r="A71" s="457">
        <v>46085</v>
      </c>
      <c r="B71" s="242" t="s">
        <v>799</v>
      </c>
      <c r="C71" s="242" t="s">
        <v>110</v>
      </c>
      <c r="D71" s="242" t="s">
        <v>97</v>
      </c>
      <c r="E71" s="242">
        <v>2500</v>
      </c>
      <c r="F71" s="454">
        <f t="shared" si="1"/>
        <v>4.669318839767655</v>
      </c>
      <c r="G71" s="239">
        <v>535.41</v>
      </c>
      <c r="H71" s="242" t="s">
        <v>124</v>
      </c>
      <c r="I71" s="242" t="s">
        <v>837</v>
      </c>
      <c r="J71" s="170" t="s">
        <v>96</v>
      </c>
      <c r="K71" s="170" t="s">
        <v>345</v>
      </c>
      <c r="L71" s="170" t="s">
        <v>113</v>
      </c>
      <c r="M71" s="75"/>
      <c r="N71" s="75"/>
      <c r="O71" s="75"/>
    </row>
    <row r="72" spans="1:15">
      <c r="A72" s="453">
        <v>46085</v>
      </c>
      <c r="B72" s="170" t="s">
        <v>800</v>
      </c>
      <c r="C72" s="242" t="s">
        <v>463</v>
      </c>
      <c r="D72" s="242" t="s">
        <v>98</v>
      </c>
      <c r="E72" s="460">
        <v>2920</v>
      </c>
      <c r="F72" s="454">
        <f t="shared" si="1"/>
        <v>5.4537644048486209</v>
      </c>
      <c r="G72" s="239">
        <v>535.41</v>
      </c>
      <c r="H72" s="170" t="s">
        <v>124</v>
      </c>
      <c r="I72" s="170" t="s">
        <v>838</v>
      </c>
      <c r="J72" s="170" t="s">
        <v>96</v>
      </c>
      <c r="K72" s="170" t="s">
        <v>345</v>
      </c>
      <c r="L72" s="170" t="s">
        <v>113</v>
      </c>
      <c r="M72" s="75"/>
      <c r="N72" s="75"/>
      <c r="O72" s="75"/>
    </row>
    <row r="73" spans="1:15">
      <c r="A73" s="457">
        <v>46086</v>
      </c>
      <c r="B73" s="242" t="s">
        <v>186</v>
      </c>
      <c r="C73" s="170" t="s">
        <v>337</v>
      </c>
      <c r="D73" s="458" t="s">
        <v>99</v>
      </c>
      <c r="E73" s="242">
        <v>1000</v>
      </c>
      <c r="F73" s="454">
        <f t="shared" si="1"/>
        <v>1.867727535907062</v>
      </c>
      <c r="G73" s="239">
        <v>535.41</v>
      </c>
      <c r="H73" s="459" t="s">
        <v>111</v>
      </c>
      <c r="I73" s="170" t="s">
        <v>380</v>
      </c>
      <c r="J73" s="170" t="s">
        <v>96</v>
      </c>
      <c r="K73" s="170" t="s">
        <v>345</v>
      </c>
      <c r="L73" s="170" t="s">
        <v>113</v>
      </c>
      <c r="M73" s="361"/>
      <c r="N73" s="361"/>
      <c r="O73" s="247"/>
    </row>
    <row r="74" spans="1:15">
      <c r="A74" s="457">
        <v>46086</v>
      </c>
      <c r="B74" s="242" t="s">
        <v>205</v>
      </c>
      <c r="C74" s="170" t="s">
        <v>337</v>
      </c>
      <c r="D74" s="458" t="s">
        <v>99</v>
      </c>
      <c r="E74" s="242">
        <v>1000</v>
      </c>
      <c r="F74" s="454">
        <f t="shared" si="1"/>
        <v>1.8771635173931283</v>
      </c>
      <c r="G74" s="239">
        <v>532.71864210781655</v>
      </c>
      <c r="H74" s="459" t="s">
        <v>111</v>
      </c>
      <c r="I74" s="170" t="s">
        <v>380</v>
      </c>
      <c r="J74" s="170" t="s">
        <v>96</v>
      </c>
      <c r="K74" s="170" t="s">
        <v>345</v>
      </c>
      <c r="L74" s="170" t="s">
        <v>113</v>
      </c>
      <c r="M74" s="361"/>
      <c r="N74" s="361"/>
      <c r="O74" s="247"/>
    </row>
    <row r="75" spans="1:15">
      <c r="A75" s="457">
        <v>46086</v>
      </c>
      <c r="B75" s="242" t="s">
        <v>356</v>
      </c>
      <c r="C75" s="170" t="s">
        <v>337</v>
      </c>
      <c r="D75" s="458" t="s">
        <v>99</v>
      </c>
      <c r="E75" s="242">
        <v>1000</v>
      </c>
      <c r="F75" s="454">
        <f t="shared" si="1"/>
        <v>1.8771635173931283</v>
      </c>
      <c r="G75" s="239">
        <v>532.71864210781655</v>
      </c>
      <c r="H75" s="459" t="s">
        <v>111</v>
      </c>
      <c r="I75" s="170" t="s">
        <v>380</v>
      </c>
      <c r="J75" s="170" t="s">
        <v>96</v>
      </c>
      <c r="K75" s="170" t="s">
        <v>345</v>
      </c>
      <c r="L75" s="170" t="s">
        <v>113</v>
      </c>
      <c r="M75" s="361"/>
      <c r="N75" s="361"/>
      <c r="O75" s="247"/>
    </row>
    <row r="76" spans="1:15">
      <c r="A76" s="457">
        <v>46086</v>
      </c>
      <c r="B76" s="242" t="s">
        <v>192</v>
      </c>
      <c r="C76" s="170" t="s">
        <v>337</v>
      </c>
      <c r="D76" s="458" t="s">
        <v>99</v>
      </c>
      <c r="E76" s="242">
        <v>1000</v>
      </c>
      <c r="F76" s="454">
        <f t="shared" si="1"/>
        <v>1.8771635173931283</v>
      </c>
      <c r="G76" s="239">
        <v>532.71864210781655</v>
      </c>
      <c r="H76" s="459" t="s">
        <v>111</v>
      </c>
      <c r="I76" s="170" t="s">
        <v>380</v>
      </c>
      <c r="J76" s="170" t="s">
        <v>96</v>
      </c>
      <c r="K76" s="170" t="s">
        <v>345</v>
      </c>
      <c r="L76" s="170" t="s">
        <v>113</v>
      </c>
      <c r="M76" s="361"/>
      <c r="N76" s="361"/>
      <c r="O76" s="247"/>
    </row>
    <row r="77" spans="1:15">
      <c r="A77" s="467">
        <v>46086</v>
      </c>
      <c r="B77" s="242" t="s">
        <v>447</v>
      </c>
      <c r="C77" s="170" t="s">
        <v>337</v>
      </c>
      <c r="D77" s="242" t="s">
        <v>98</v>
      </c>
      <c r="E77" s="298">
        <v>1000</v>
      </c>
      <c r="F77" s="454">
        <f t="shared" si="1"/>
        <v>1.867727535907062</v>
      </c>
      <c r="G77" s="239">
        <v>535.41</v>
      </c>
      <c r="H77" s="242" t="s">
        <v>168</v>
      </c>
      <c r="I77" s="242" t="s">
        <v>510</v>
      </c>
      <c r="J77" s="170" t="s">
        <v>96</v>
      </c>
      <c r="K77" s="170" t="s">
        <v>345</v>
      </c>
      <c r="L77" s="170" t="s">
        <v>113</v>
      </c>
      <c r="M77" s="75"/>
      <c r="N77" s="75"/>
      <c r="O77" s="75"/>
    </row>
    <row r="78" spans="1:15">
      <c r="A78" s="428">
        <v>46086</v>
      </c>
      <c r="B78" s="429" t="s">
        <v>1033</v>
      </c>
      <c r="C78" s="170" t="s">
        <v>337</v>
      </c>
      <c r="D78" s="429" t="s">
        <v>259</v>
      </c>
      <c r="E78" s="429">
        <v>1000</v>
      </c>
      <c r="F78" s="454">
        <f t="shared" si="1"/>
        <v>1.867727535907062</v>
      </c>
      <c r="G78" s="239">
        <v>535.41</v>
      </c>
      <c r="H78" s="429" t="s">
        <v>123</v>
      </c>
      <c r="I78" s="429" t="s">
        <v>550</v>
      </c>
      <c r="J78" s="170" t="s">
        <v>96</v>
      </c>
      <c r="K78" s="170" t="s">
        <v>345</v>
      </c>
      <c r="L78" s="170" t="s">
        <v>113</v>
      </c>
      <c r="M78" s="75"/>
      <c r="N78" s="75"/>
      <c r="O78" s="75"/>
    </row>
    <row r="79" spans="1:15">
      <c r="A79" s="428">
        <v>46086</v>
      </c>
      <c r="B79" s="429" t="s">
        <v>1033</v>
      </c>
      <c r="C79" s="170" t="s">
        <v>337</v>
      </c>
      <c r="D79" s="429" t="s">
        <v>259</v>
      </c>
      <c r="E79" s="429">
        <v>1000</v>
      </c>
      <c r="F79" s="454">
        <f t="shared" si="1"/>
        <v>1.867727535907062</v>
      </c>
      <c r="G79" s="239">
        <v>535.41</v>
      </c>
      <c r="H79" s="429" t="s">
        <v>123</v>
      </c>
      <c r="I79" s="429" t="s">
        <v>550</v>
      </c>
      <c r="J79" s="170" t="s">
        <v>96</v>
      </c>
      <c r="K79" s="170" t="s">
        <v>345</v>
      </c>
      <c r="L79" s="170" t="s">
        <v>113</v>
      </c>
      <c r="M79" s="75"/>
      <c r="N79" s="75"/>
      <c r="O79" s="75"/>
    </row>
    <row r="80" spans="1:15">
      <c r="A80" s="428">
        <v>46086</v>
      </c>
      <c r="B80" s="429" t="s">
        <v>1033</v>
      </c>
      <c r="C80" s="170" t="s">
        <v>337</v>
      </c>
      <c r="D80" s="429" t="s">
        <v>259</v>
      </c>
      <c r="E80" s="429">
        <v>1000</v>
      </c>
      <c r="F80" s="454">
        <f t="shared" si="1"/>
        <v>1.867727535907062</v>
      </c>
      <c r="G80" s="239">
        <v>535.41</v>
      </c>
      <c r="H80" s="429" t="s">
        <v>123</v>
      </c>
      <c r="I80" s="429" t="s">
        <v>550</v>
      </c>
      <c r="J80" s="170" t="s">
        <v>96</v>
      </c>
      <c r="K80" s="170" t="s">
        <v>345</v>
      </c>
      <c r="L80" s="170" t="s">
        <v>113</v>
      </c>
      <c r="M80" s="75"/>
      <c r="N80" s="75"/>
      <c r="O80" s="75"/>
    </row>
    <row r="81" spans="1:15">
      <c r="A81" s="428">
        <v>46086</v>
      </c>
      <c r="B81" s="429" t="s">
        <v>1033</v>
      </c>
      <c r="C81" s="170" t="s">
        <v>337</v>
      </c>
      <c r="D81" s="429" t="s">
        <v>259</v>
      </c>
      <c r="E81" s="429">
        <v>1000</v>
      </c>
      <c r="F81" s="454">
        <f t="shared" si="1"/>
        <v>1.867727535907062</v>
      </c>
      <c r="G81" s="239">
        <v>535.41</v>
      </c>
      <c r="H81" s="429" t="s">
        <v>123</v>
      </c>
      <c r="I81" s="429" t="s">
        <v>550</v>
      </c>
      <c r="J81" s="170" t="s">
        <v>96</v>
      </c>
      <c r="K81" s="170" t="s">
        <v>345</v>
      </c>
      <c r="L81" s="170" t="s">
        <v>113</v>
      </c>
      <c r="M81" s="75"/>
      <c r="N81" s="75"/>
      <c r="O81" s="75"/>
    </row>
    <row r="82" spans="1:15">
      <c r="A82" s="428">
        <v>46086</v>
      </c>
      <c r="B82" s="429" t="s">
        <v>1033</v>
      </c>
      <c r="C82" s="170" t="s">
        <v>337</v>
      </c>
      <c r="D82" s="429" t="s">
        <v>259</v>
      </c>
      <c r="E82" s="429">
        <v>1000</v>
      </c>
      <c r="F82" s="454">
        <f t="shared" si="1"/>
        <v>1.867727535907062</v>
      </c>
      <c r="G82" s="239">
        <v>535.41</v>
      </c>
      <c r="H82" s="429" t="s">
        <v>123</v>
      </c>
      <c r="I82" s="429" t="s">
        <v>550</v>
      </c>
      <c r="J82" s="170" t="s">
        <v>96</v>
      </c>
      <c r="K82" s="170" t="s">
        <v>345</v>
      </c>
      <c r="L82" s="170" t="s">
        <v>113</v>
      </c>
      <c r="M82" s="75"/>
      <c r="N82" s="75"/>
      <c r="O82" s="75"/>
    </row>
    <row r="83" spans="1:15">
      <c r="A83" s="428">
        <v>46086</v>
      </c>
      <c r="B83" s="429" t="s">
        <v>1033</v>
      </c>
      <c r="C83" s="170" t="s">
        <v>337</v>
      </c>
      <c r="D83" s="429" t="s">
        <v>259</v>
      </c>
      <c r="E83" s="429">
        <v>1000</v>
      </c>
      <c r="F83" s="454">
        <f t="shared" si="1"/>
        <v>1.867727535907062</v>
      </c>
      <c r="G83" s="239">
        <v>535.41</v>
      </c>
      <c r="H83" s="429" t="s">
        <v>123</v>
      </c>
      <c r="I83" s="429" t="s">
        <v>550</v>
      </c>
      <c r="J83" s="170" t="s">
        <v>96</v>
      </c>
      <c r="K83" s="170" t="s">
        <v>345</v>
      </c>
      <c r="L83" s="170" t="s">
        <v>113</v>
      </c>
      <c r="M83" s="75"/>
      <c r="N83" s="75"/>
      <c r="O83" s="75"/>
    </row>
    <row r="84" spans="1:15">
      <c r="A84" s="428">
        <v>46086</v>
      </c>
      <c r="B84" s="429" t="s">
        <v>540</v>
      </c>
      <c r="C84" s="429" t="s">
        <v>541</v>
      </c>
      <c r="D84" s="429" t="s">
        <v>259</v>
      </c>
      <c r="E84" s="429">
        <v>1500</v>
      </c>
      <c r="F84" s="454">
        <f t="shared" si="1"/>
        <v>2.8015913038605929</v>
      </c>
      <c r="G84" s="239">
        <v>535.41</v>
      </c>
      <c r="H84" s="429" t="s">
        <v>123</v>
      </c>
      <c r="I84" s="429" t="s">
        <v>551</v>
      </c>
      <c r="J84" s="170" t="s">
        <v>96</v>
      </c>
      <c r="K84" s="170" t="s">
        <v>345</v>
      </c>
      <c r="L84" s="170" t="s">
        <v>113</v>
      </c>
      <c r="M84" s="75"/>
      <c r="N84" s="75"/>
      <c r="O84" s="75"/>
    </row>
    <row r="85" spans="1:15">
      <c r="A85" s="457">
        <v>46086</v>
      </c>
      <c r="B85" s="242" t="s">
        <v>1027</v>
      </c>
      <c r="C85" s="170" t="s">
        <v>337</v>
      </c>
      <c r="D85" s="242" t="s">
        <v>259</v>
      </c>
      <c r="E85" s="242">
        <v>500</v>
      </c>
      <c r="F85" s="454">
        <f t="shared" si="1"/>
        <v>0.93386376795353099</v>
      </c>
      <c r="G85" s="239">
        <v>535.41</v>
      </c>
      <c r="H85" s="242" t="s">
        <v>122</v>
      </c>
      <c r="I85" s="242" t="s">
        <v>594</v>
      </c>
      <c r="J85" s="170" t="s">
        <v>96</v>
      </c>
      <c r="K85" s="170" t="s">
        <v>345</v>
      </c>
      <c r="L85" s="170" t="s">
        <v>113</v>
      </c>
      <c r="M85" s="75"/>
      <c r="N85" s="75"/>
      <c r="O85" s="75"/>
    </row>
    <row r="86" spans="1:15">
      <c r="A86" s="457">
        <v>46086</v>
      </c>
      <c r="B86" s="242" t="s">
        <v>1027</v>
      </c>
      <c r="C86" s="170" t="s">
        <v>337</v>
      </c>
      <c r="D86" s="242" t="s">
        <v>259</v>
      </c>
      <c r="E86" s="242">
        <v>500</v>
      </c>
      <c r="F86" s="454">
        <f t="shared" si="1"/>
        <v>0.93386376795353099</v>
      </c>
      <c r="G86" s="239">
        <v>535.41</v>
      </c>
      <c r="H86" s="242" t="s">
        <v>122</v>
      </c>
      <c r="I86" s="242" t="s">
        <v>594</v>
      </c>
      <c r="J86" s="170" t="s">
        <v>96</v>
      </c>
      <c r="K86" s="170" t="s">
        <v>345</v>
      </c>
      <c r="L86" s="170" t="s">
        <v>113</v>
      </c>
      <c r="M86" s="75"/>
      <c r="N86" s="75"/>
      <c r="O86" s="75"/>
    </row>
    <row r="87" spans="1:15">
      <c r="A87" s="457">
        <v>46086</v>
      </c>
      <c r="B87" s="242" t="s">
        <v>1027</v>
      </c>
      <c r="C87" s="170" t="s">
        <v>337</v>
      </c>
      <c r="D87" s="242" t="s">
        <v>259</v>
      </c>
      <c r="E87" s="242">
        <v>500</v>
      </c>
      <c r="F87" s="454">
        <f t="shared" si="1"/>
        <v>0.93386376795353099</v>
      </c>
      <c r="G87" s="239">
        <v>535.41</v>
      </c>
      <c r="H87" s="242" t="s">
        <v>122</v>
      </c>
      <c r="I87" s="242" t="s">
        <v>594</v>
      </c>
      <c r="J87" s="170" t="s">
        <v>96</v>
      </c>
      <c r="K87" s="170" t="s">
        <v>345</v>
      </c>
      <c r="L87" s="170" t="s">
        <v>113</v>
      </c>
      <c r="M87" s="75"/>
      <c r="N87" s="75"/>
      <c r="O87" s="75"/>
    </row>
    <row r="88" spans="1:15">
      <c r="A88" s="457">
        <v>46086</v>
      </c>
      <c r="B88" s="242" t="s">
        <v>1027</v>
      </c>
      <c r="C88" s="170" t="s">
        <v>337</v>
      </c>
      <c r="D88" s="242" t="s">
        <v>259</v>
      </c>
      <c r="E88" s="242">
        <v>500</v>
      </c>
      <c r="F88" s="454">
        <f t="shared" si="1"/>
        <v>0.93386376795353099</v>
      </c>
      <c r="G88" s="239">
        <v>535.41</v>
      </c>
      <c r="H88" s="242" t="s">
        <v>122</v>
      </c>
      <c r="I88" s="242" t="s">
        <v>594</v>
      </c>
      <c r="J88" s="170" t="s">
        <v>96</v>
      </c>
      <c r="K88" s="170" t="s">
        <v>345</v>
      </c>
      <c r="L88" s="170" t="s">
        <v>113</v>
      </c>
      <c r="M88" s="75"/>
      <c r="N88" s="75"/>
      <c r="O88" s="75"/>
    </row>
    <row r="89" spans="1:15">
      <c r="A89" s="457">
        <v>46086</v>
      </c>
      <c r="B89" s="242" t="s">
        <v>1027</v>
      </c>
      <c r="C89" s="170" t="s">
        <v>337</v>
      </c>
      <c r="D89" s="242" t="s">
        <v>259</v>
      </c>
      <c r="E89" s="242">
        <v>500</v>
      </c>
      <c r="F89" s="454">
        <f t="shared" si="1"/>
        <v>0.93386376795353099</v>
      </c>
      <c r="G89" s="239">
        <v>535.41</v>
      </c>
      <c r="H89" s="242" t="s">
        <v>122</v>
      </c>
      <c r="I89" s="242" t="s">
        <v>594</v>
      </c>
      <c r="J89" s="170" t="s">
        <v>96</v>
      </c>
      <c r="K89" s="170" t="s">
        <v>345</v>
      </c>
      <c r="L89" s="170" t="s">
        <v>113</v>
      </c>
      <c r="M89" s="75"/>
      <c r="N89" s="75"/>
      <c r="O89" s="75"/>
    </row>
    <row r="90" spans="1:15">
      <c r="A90" s="457">
        <v>46086</v>
      </c>
      <c r="B90" s="242" t="s">
        <v>540</v>
      </c>
      <c r="C90" s="242" t="s">
        <v>587</v>
      </c>
      <c r="D90" s="242" t="s">
        <v>259</v>
      </c>
      <c r="E90" s="242">
        <v>1650</v>
      </c>
      <c r="F90" s="454">
        <f t="shared" si="1"/>
        <v>3.0817504342466524</v>
      </c>
      <c r="G90" s="239">
        <v>535.41</v>
      </c>
      <c r="H90" s="242" t="s">
        <v>122</v>
      </c>
      <c r="I90" s="242" t="s">
        <v>596</v>
      </c>
      <c r="J90" s="170" t="s">
        <v>96</v>
      </c>
      <c r="K90" s="170" t="s">
        <v>345</v>
      </c>
      <c r="L90" s="170" t="s">
        <v>113</v>
      </c>
      <c r="M90" s="75"/>
      <c r="N90" s="75"/>
      <c r="O90" s="75"/>
    </row>
    <row r="91" spans="1:15">
      <c r="A91" s="457">
        <v>46086</v>
      </c>
      <c r="B91" s="242" t="s">
        <v>1027</v>
      </c>
      <c r="C91" s="170" t="s">
        <v>337</v>
      </c>
      <c r="D91" s="242" t="s">
        <v>259</v>
      </c>
      <c r="E91" s="242">
        <v>500</v>
      </c>
      <c r="F91" s="454">
        <f t="shared" si="1"/>
        <v>0.93386376795353099</v>
      </c>
      <c r="G91" s="239">
        <v>535.41</v>
      </c>
      <c r="H91" s="242" t="s">
        <v>122</v>
      </c>
      <c r="I91" s="242" t="s">
        <v>594</v>
      </c>
      <c r="J91" s="170" t="s">
        <v>96</v>
      </c>
      <c r="K91" s="170" t="s">
        <v>345</v>
      </c>
      <c r="L91" s="170" t="s">
        <v>113</v>
      </c>
      <c r="M91" s="75"/>
      <c r="N91" s="75"/>
      <c r="O91" s="75"/>
    </row>
    <row r="92" spans="1:15">
      <c r="A92" s="457">
        <v>46086</v>
      </c>
      <c r="B92" s="170" t="s">
        <v>1048</v>
      </c>
      <c r="C92" s="242" t="s">
        <v>406</v>
      </c>
      <c r="D92" s="242" t="s">
        <v>259</v>
      </c>
      <c r="E92" s="242">
        <v>30000</v>
      </c>
      <c r="F92" s="454">
        <f t="shared" si="1"/>
        <v>56.031826077211861</v>
      </c>
      <c r="G92" s="239">
        <v>535.41</v>
      </c>
      <c r="H92" s="242" t="s">
        <v>122</v>
      </c>
      <c r="I92" s="242" t="s">
        <v>599</v>
      </c>
      <c r="J92" s="170" t="s">
        <v>96</v>
      </c>
      <c r="K92" s="170" t="s">
        <v>345</v>
      </c>
      <c r="L92" s="170" t="s">
        <v>113</v>
      </c>
      <c r="M92" s="75"/>
      <c r="N92" s="75"/>
      <c r="O92" s="75"/>
    </row>
    <row r="93" spans="1:15">
      <c r="A93" s="457">
        <v>46086</v>
      </c>
      <c r="B93" s="242" t="s">
        <v>1035</v>
      </c>
      <c r="C93" s="242" t="s">
        <v>402</v>
      </c>
      <c r="D93" s="242" t="s">
        <v>259</v>
      </c>
      <c r="E93" s="242">
        <v>7000</v>
      </c>
      <c r="F93" s="454">
        <f t="shared" si="1"/>
        <v>13.074092751349434</v>
      </c>
      <c r="G93" s="239">
        <v>535.41</v>
      </c>
      <c r="H93" s="242" t="s">
        <v>122</v>
      </c>
      <c r="I93" s="242" t="s">
        <v>600</v>
      </c>
      <c r="J93" s="170" t="s">
        <v>96</v>
      </c>
      <c r="K93" s="170" t="s">
        <v>345</v>
      </c>
      <c r="L93" s="170" t="s">
        <v>113</v>
      </c>
      <c r="M93" s="75"/>
      <c r="N93" s="75"/>
      <c r="O93" s="75"/>
    </row>
    <row r="94" spans="1:15">
      <c r="A94" s="457">
        <v>46086</v>
      </c>
      <c r="B94" s="242" t="s">
        <v>1027</v>
      </c>
      <c r="C94" s="170" t="s">
        <v>337</v>
      </c>
      <c r="D94" s="242" t="s">
        <v>259</v>
      </c>
      <c r="E94" s="242">
        <v>500</v>
      </c>
      <c r="F94" s="454">
        <f t="shared" si="1"/>
        <v>0.93386376795353099</v>
      </c>
      <c r="G94" s="239">
        <v>535.41</v>
      </c>
      <c r="H94" s="242" t="s">
        <v>131</v>
      </c>
      <c r="I94" s="242" t="s">
        <v>653</v>
      </c>
      <c r="J94" s="170" t="s">
        <v>96</v>
      </c>
      <c r="K94" s="170" t="s">
        <v>345</v>
      </c>
      <c r="L94" s="170" t="s">
        <v>113</v>
      </c>
      <c r="M94" s="75"/>
      <c r="N94" s="75"/>
      <c r="O94" s="75"/>
    </row>
    <row r="95" spans="1:15">
      <c r="A95" s="457">
        <v>46086</v>
      </c>
      <c r="B95" s="242" t="s">
        <v>1057</v>
      </c>
      <c r="C95" s="242" t="s">
        <v>647</v>
      </c>
      <c r="D95" s="242" t="s">
        <v>259</v>
      </c>
      <c r="E95" s="242">
        <v>2000</v>
      </c>
      <c r="F95" s="454">
        <f t="shared" si="1"/>
        <v>3.735455071814124</v>
      </c>
      <c r="G95" s="239">
        <v>535.41</v>
      </c>
      <c r="H95" s="242" t="s">
        <v>131</v>
      </c>
      <c r="I95" s="242" t="s">
        <v>658</v>
      </c>
      <c r="J95" s="170" t="s">
        <v>96</v>
      </c>
      <c r="K95" s="170" t="s">
        <v>345</v>
      </c>
      <c r="L95" s="170" t="s">
        <v>113</v>
      </c>
      <c r="M95" s="75"/>
      <c r="N95" s="75"/>
      <c r="O95" s="75"/>
    </row>
    <row r="96" spans="1:15">
      <c r="A96" s="470">
        <v>46086</v>
      </c>
      <c r="B96" s="472" t="s">
        <v>1027</v>
      </c>
      <c r="C96" s="170" t="s">
        <v>337</v>
      </c>
      <c r="D96" s="472" t="s">
        <v>259</v>
      </c>
      <c r="E96" s="472">
        <v>500</v>
      </c>
      <c r="F96" s="454">
        <f t="shared" si="1"/>
        <v>0.93386376795353099</v>
      </c>
      <c r="G96" s="239">
        <v>535.41</v>
      </c>
      <c r="H96" s="472" t="s">
        <v>131</v>
      </c>
      <c r="I96" s="242" t="s">
        <v>653</v>
      </c>
      <c r="J96" s="170" t="s">
        <v>96</v>
      </c>
      <c r="K96" s="170" t="s">
        <v>345</v>
      </c>
      <c r="L96" s="170" t="s">
        <v>113</v>
      </c>
      <c r="M96" s="75"/>
      <c r="N96" s="75"/>
      <c r="O96" s="75"/>
    </row>
    <row r="97" spans="1:15">
      <c r="A97" s="457">
        <v>46086</v>
      </c>
      <c r="B97" s="242" t="s">
        <v>1027</v>
      </c>
      <c r="C97" s="170" t="s">
        <v>337</v>
      </c>
      <c r="D97" s="242" t="s">
        <v>259</v>
      </c>
      <c r="E97" s="242">
        <v>500</v>
      </c>
      <c r="F97" s="454">
        <f t="shared" si="1"/>
        <v>0.93386376795353099</v>
      </c>
      <c r="G97" s="239">
        <v>535.41</v>
      </c>
      <c r="H97" s="242" t="s">
        <v>131</v>
      </c>
      <c r="I97" s="242" t="s">
        <v>653</v>
      </c>
      <c r="J97" s="170" t="s">
        <v>96</v>
      </c>
      <c r="K97" s="170" t="s">
        <v>345</v>
      </c>
      <c r="L97" s="170" t="s">
        <v>113</v>
      </c>
      <c r="M97" s="75"/>
      <c r="N97" s="75"/>
      <c r="O97" s="75"/>
    </row>
    <row r="98" spans="1:15">
      <c r="A98" s="457">
        <v>46086</v>
      </c>
      <c r="B98" s="242" t="s">
        <v>1027</v>
      </c>
      <c r="C98" s="170" t="s">
        <v>337</v>
      </c>
      <c r="D98" s="242" t="s">
        <v>259</v>
      </c>
      <c r="E98" s="242">
        <v>500</v>
      </c>
      <c r="F98" s="454">
        <f t="shared" si="1"/>
        <v>0.93386376795353099</v>
      </c>
      <c r="G98" s="239">
        <v>535.41</v>
      </c>
      <c r="H98" s="242" t="s">
        <v>131</v>
      </c>
      <c r="I98" s="242" t="s">
        <v>653</v>
      </c>
      <c r="J98" s="170" t="s">
        <v>96</v>
      </c>
      <c r="K98" s="170" t="s">
        <v>345</v>
      </c>
      <c r="L98" s="170" t="s">
        <v>113</v>
      </c>
      <c r="M98" s="75"/>
      <c r="N98" s="75"/>
      <c r="O98" s="75"/>
    </row>
    <row r="99" spans="1:15">
      <c r="A99" s="457">
        <v>46086</v>
      </c>
      <c r="B99" s="242" t="s">
        <v>1027</v>
      </c>
      <c r="C99" s="170" t="s">
        <v>337</v>
      </c>
      <c r="D99" s="242" t="s">
        <v>259</v>
      </c>
      <c r="E99" s="242">
        <v>500</v>
      </c>
      <c r="F99" s="454">
        <f t="shared" si="1"/>
        <v>0.93386376795353099</v>
      </c>
      <c r="G99" s="239">
        <v>535.41</v>
      </c>
      <c r="H99" s="242" t="s">
        <v>131</v>
      </c>
      <c r="I99" s="242" t="s">
        <v>653</v>
      </c>
      <c r="J99" s="170" t="s">
        <v>96</v>
      </c>
      <c r="K99" s="170" t="s">
        <v>345</v>
      </c>
      <c r="L99" s="170" t="s">
        <v>113</v>
      </c>
      <c r="M99" s="75"/>
      <c r="N99" s="75"/>
      <c r="O99" s="75"/>
    </row>
    <row r="100" spans="1:15">
      <c r="A100" s="470">
        <v>46087</v>
      </c>
      <c r="B100" s="472" t="s">
        <v>186</v>
      </c>
      <c r="C100" s="170" t="s">
        <v>337</v>
      </c>
      <c r="D100" s="474" t="s">
        <v>99</v>
      </c>
      <c r="E100" s="472">
        <v>1000</v>
      </c>
      <c r="F100" s="454">
        <f t="shared" si="1"/>
        <v>1.8771635173931283</v>
      </c>
      <c r="G100" s="239">
        <v>532.71864210781655</v>
      </c>
      <c r="H100" s="478" t="s">
        <v>111</v>
      </c>
      <c r="I100" s="451" t="s">
        <v>380</v>
      </c>
      <c r="J100" s="170" t="s">
        <v>96</v>
      </c>
      <c r="K100" s="170" t="s">
        <v>345</v>
      </c>
      <c r="L100" s="170" t="s">
        <v>113</v>
      </c>
      <c r="M100" s="361"/>
      <c r="N100" s="361"/>
      <c r="O100" s="247"/>
    </row>
    <row r="101" spans="1:15">
      <c r="A101" s="457">
        <v>46087</v>
      </c>
      <c r="B101" s="242" t="s">
        <v>357</v>
      </c>
      <c r="C101" s="170" t="s">
        <v>337</v>
      </c>
      <c r="D101" s="458" t="s">
        <v>99</v>
      </c>
      <c r="E101" s="242">
        <v>1000</v>
      </c>
      <c r="F101" s="454">
        <f t="shared" si="1"/>
        <v>1.8771635173931283</v>
      </c>
      <c r="G101" s="239">
        <v>532.71864210781655</v>
      </c>
      <c r="H101" s="459" t="s">
        <v>111</v>
      </c>
      <c r="I101" s="170" t="s">
        <v>380</v>
      </c>
      <c r="J101" s="170" t="s">
        <v>96</v>
      </c>
      <c r="K101" s="170" t="s">
        <v>345</v>
      </c>
      <c r="L101" s="170" t="s">
        <v>113</v>
      </c>
      <c r="M101" s="361"/>
      <c r="N101" s="361"/>
      <c r="O101" s="247"/>
    </row>
    <row r="102" spans="1:15">
      <c r="A102" s="457">
        <v>46087</v>
      </c>
      <c r="B102" s="242" t="s">
        <v>358</v>
      </c>
      <c r="C102" s="170" t="s">
        <v>337</v>
      </c>
      <c r="D102" s="458" t="s">
        <v>99</v>
      </c>
      <c r="E102" s="242">
        <v>1000</v>
      </c>
      <c r="F102" s="454">
        <f t="shared" si="1"/>
        <v>1.8771635173931283</v>
      </c>
      <c r="G102" s="239">
        <v>532.71864210781655</v>
      </c>
      <c r="H102" s="459" t="s">
        <v>111</v>
      </c>
      <c r="I102" s="170" t="s">
        <v>380</v>
      </c>
      <c r="J102" s="170" t="s">
        <v>96</v>
      </c>
      <c r="K102" s="170" t="s">
        <v>345</v>
      </c>
      <c r="L102" s="170" t="s">
        <v>113</v>
      </c>
      <c r="M102" s="361"/>
      <c r="N102" s="361"/>
      <c r="O102" s="247"/>
    </row>
    <row r="103" spans="1:15">
      <c r="A103" s="470">
        <v>46087</v>
      </c>
      <c r="B103" s="472" t="s">
        <v>192</v>
      </c>
      <c r="C103" s="170" t="s">
        <v>337</v>
      </c>
      <c r="D103" s="474" t="s">
        <v>99</v>
      </c>
      <c r="E103" s="472">
        <v>1000</v>
      </c>
      <c r="F103" s="454">
        <f t="shared" si="1"/>
        <v>1.8771635173931283</v>
      </c>
      <c r="G103" s="239">
        <v>532.71864210781655</v>
      </c>
      <c r="H103" s="478" t="s">
        <v>111</v>
      </c>
      <c r="I103" s="170" t="s">
        <v>380</v>
      </c>
      <c r="J103" s="170" t="s">
        <v>96</v>
      </c>
      <c r="K103" s="170" t="s">
        <v>345</v>
      </c>
      <c r="L103" s="170" t="s">
        <v>113</v>
      </c>
      <c r="M103" s="361"/>
      <c r="N103" s="361"/>
      <c r="O103" s="271"/>
    </row>
    <row r="104" spans="1:15">
      <c r="A104" s="428">
        <v>46087</v>
      </c>
      <c r="B104" s="429" t="s">
        <v>1033</v>
      </c>
      <c r="C104" s="170" t="s">
        <v>337</v>
      </c>
      <c r="D104" s="429" t="s">
        <v>259</v>
      </c>
      <c r="E104" s="429">
        <v>1500</v>
      </c>
      <c r="F104" s="454">
        <f t="shared" si="1"/>
        <v>2.8015913038605929</v>
      </c>
      <c r="G104" s="239">
        <v>535.41</v>
      </c>
      <c r="H104" s="429" t="s">
        <v>123</v>
      </c>
      <c r="I104" s="429" t="s">
        <v>550</v>
      </c>
      <c r="J104" s="170" t="s">
        <v>96</v>
      </c>
      <c r="K104" s="170" t="s">
        <v>345</v>
      </c>
      <c r="L104" s="170" t="s">
        <v>113</v>
      </c>
      <c r="M104" s="75"/>
      <c r="N104" s="75"/>
      <c r="O104" s="75"/>
    </row>
    <row r="105" spans="1:15">
      <c r="A105" s="428">
        <v>46087</v>
      </c>
      <c r="B105" s="429" t="s">
        <v>1033</v>
      </c>
      <c r="C105" s="170" t="s">
        <v>337</v>
      </c>
      <c r="D105" s="429" t="s">
        <v>259</v>
      </c>
      <c r="E105" s="429">
        <v>1000</v>
      </c>
      <c r="F105" s="454">
        <f t="shared" si="1"/>
        <v>1.867727535907062</v>
      </c>
      <c r="G105" s="239">
        <v>535.41</v>
      </c>
      <c r="H105" s="429" t="s">
        <v>123</v>
      </c>
      <c r="I105" s="429" t="s">
        <v>550</v>
      </c>
      <c r="J105" s="170" t="s">
        <v>96</v>
      </c>
      <c r="K105" s="170" t="s">
        <v>345</v>
      </c>
      <c r="L105" s="170" t="s">
        <v>113</v>
      </c>
      <c r="M105" s="75"/>
      <c r="N105" s="75"/>
      <c r="O105" s="75"/>
    </row>
    <row r="106" spans="1:15">
      <c r="A106" s="428">
        <v>46087</v>
      </c>
      <c r="B106" s="429" t="s">
        <v>1033</v>
      </c>
      <c r="C106" s="170" t="s">
        <v>337</v>
      </c>
      <c r="D106" s="429" t="s">
        <v>259</v>
      </c>
      <c r="E106" s="429">
        <v>1000</v>
      </c>
      <c r="F106" s="454">
        <f t="shared" si="1"/>
        <v>1.867727535907062</v>
      </c>
      <c r="G106" s="239">
        <v>535.41</v>
      </c>
      <c r="H106" s="429" t="s">
        <v>123</v>
      </c>
      <c r="I106" s="429" t="s">
        <v>550</v>
      </c>
      <c r="J106" s="170" t="s">
        <v>96</v>
      </c>
      <c r="K106" s="170" t="s">
        <v>345</v>
      </c>
      <c r="L106" s="170" t="s">
        <v>113</v>
      </c>
      <c r="M106" s="75"/>
      <c r="N106" s="75"/>
      <c r="O106" s="75"/>
    </row>
    <row r="107" spans="1:15">
      <c r="A107" s="471">
        <v>46087</v>
      </c>
      <c r="B107" s="473" t="s">
        <v>1037</v>
      </c>
      <c r="C107" s="170" t="s">
        <v>337</v>
      </c>
      <c r="D107" s="473" t="s">
        <v>259</v>
      </c>
      <c r="E107" s="473">
        <v>1000</v>
      </c>
      <c r="F107" s="454">
        <f t="shared" si="1"/>
        <v>1.867727535907062</v>
      </c>
      <c r="G107" s="239">
        <v>535.41</v>
      </c>
      <c r="H107" s="473" t="s">
        <v>123</v>
      </c>
      <c r="I107" s="473" t="s">
        <v>550</v>
      </c>
      <c r="J107" s="170" t="s">
        <v>96</v>
      </c>
      <c r="K107" s="170" t="s">
        <v>345</v>
      </c>
      <c r="L107" s="170" t="s">
        <v>113</v>
      </c>
      <c r="M107" s="75"/>
      <c r="N107" s="75"/>
      <c r="O107" s="75"/>
    </row>
    <row r="108" spans="1:15">
      <c r="A108" s="428">
        <v>46087</v>
      </c>
      <c r="B108" s="429" t="s">
        <v>1033</v>
      </c>
      <c r="C108" s="170" t="s">
        <v>337</v>
      </c>
      <c r="D108" s="429" t="s">
        <v>259</v>
      </c>
      <c r="E108" s="429">
        <v>1500</v>
      </c>
      <c r="F108" s="454">
        <f t="shared" si="1"/>
        <v>2.8015913038605929</v>
      </c>
      <c r="G108" s="239">
        <v>535.41</v>
      </c>
      <c r="H108" s="429" t="s">
        <v>123</v>
      </c>
      <c r="I108" s="429" t="s">
        <v>550</v>
      </c>
      <c r="J108" s="170" t="s">
        <v>96</v>
      </c>
      <c r="K108" s="170" t="s">
        <v>345</v>
      </c>
      <c r="L108" s="170" t="s">
        <v>113</v>
      </c>
      <c r="M108" s="75"/>
      <c r="N108" s="75"/>
      <c r="O108" s="75"/>
    </row>
    <row r="109" spans="1:15">
      <c r="A109" s="428">
        <v>46087</v>
      </c>
      <c r="B109" s="429" t="s">
        <v>540</v>
      </c>
      <c r="C109" s="429" t="s">
        <v>541</v>
      </c>
      <c r="D109" s="429" t="s">
        <v>259</v>
      </c>
      <c r="E109" s="429">
        <v>1000</v>
      </c>
      <c r="F109" s="454">
        <f t="shared" si="1"/>
        <v>1.867727535907062</v>
      </c>
      <c r="G109" s="239">
        <v>535.41</v>
      </c>
      <c r="H109" s="429" t="s">
        <v>123</v>
      </c>
      <c r="I109" s="429" t="s">
        <v>551</v>
      </c>
      <c r="J109" s="170" t="s">
        <v>96</v>
      </c>
      <c r="K109" s="170" t="s">
        <v>345</v>
      </c>
      <c r="L109" s="170" t="s">
        <v>113</v>
      </c>
      <c r="M109" s="75"/>
      <c r="N109" s="75"/>
      <c r="O109" s="75"/>
    </row>
    <row r="110" spans="1:15">
      <c r="A110" s="457">
        <v>46087</v>
      </c>
      <c r="B110" s="472" t="s">
        <v>1027</v>
      </c>
      <c r="C110" s="170" t="s">
        <v>337</v>
      </c>
      <c r="D110" s="242" t="s">
        <v>259</v>
      </c>
      <c r="E110" s="242">
        <v>500</v>
      </c>
      <c r="F110" s="454">
        <f t="shared" si="1"/>
        <v>0.93386376795353099</v>
      </c>
      <c r="G110" s="239">
        <v>535.41</v>
      </c>
      <c r="H110" s="242" t="s">
        <v>122</v>
      </c>
      <c r="I110" s="472" t="s">
        <v>594</v>
      </c>
      <c r="J110" s="170" t="s">
        <v>96</v>
      </c>
      <c r="K110" s="170" t="s">
        <v>345</v>
      </c>
      <c r="L110" s="170" t="s">
        <v>113</v>
      </c>
      <c r="M110" s="75"/>
      <c r="N110" s="75"/>
      <c r="O110" s="75"/>
    </row>
    <row r="111" spans="1:15">
      <c r="A111" s="457">
        <v>46087</v>
      </c>
      <c r="B111" s="242" t="s">
        <v>1027</v>
      </c>
      <c r="C111" s="170" t="s">
        <v>337</v>
      </c>
      <c r="D111" s="242" t="s">
        <v>259</v>
      </c>
      <c r="E111" s="242">
        <v>500</v>
      </c>
      <c r="F111" s="454">
        <f t="shared" si="1"/>
        <v>0.93386376795353099</v>
      </c>
      <c r="G111" s="239">
        <v>535.41</v>
      </c>
      <c r="H111" s="242" t="s">
        <v>122</v>
      </c>
      <c r="I111" s="242" t="s">
        <v>594</v>
      </c>
      <c r="J111" s="170" t="s">
        <v>96</v>
      </c>
      <c r="K111" s="170" t="s">
        <v>345</v>
      </c>
      <c r="L111" s="170" t="s">
        <v>113</v>
      </c>
      <c r="M111" s="75"/>
      <c r="N111" s="75"/>
      <c r="O111" s="75"/>
    </row>
    <row r="112" spans="1:15">
      <c r="A112" s="457">
        <v>46087</v>
      </c>
      <c r="B112" s="242" t="s">
        <v>1027</v>
      </c>
      <c r="C112" s="170" t="s">
        <v>337</v>
      </c>
      <c r="D112" s="242" t="s">
        <v>259</v>
      </c>
      <c r="E112" s="242">
        <v>500</v>
      </c>
      <c r="F112" s="454">
        <f t="shared" si="1"/>
        <v>0.93386376795353099</v>
      </c>
      <c r="G112" s="239">
        <v>535.41</v>
      </c>
      <c r="H112" s="242" t="s">
        <v>122</v>
      </c>
      <c r="I112" s="242" t="s">
        <v>594</v>
      </c>
      <c r="J112" s="170" t="s">
        <v>96</v>
      </c>
      <c r="K112" s="170" t="s">
        <v>345</v>
      </c>
      <c r="L112" s="170" t="s">
        <v>113</v>
      </c>
      <c r="M112" s="75"/>
      <c r="N112" s="75"/>
      <c r="O112" s="75"/>
    </row>
    <row r="113" spans="1:15">
      <c r="A113" s="457">
        <v>46087</v>
      </c>
      <c r="B113" s="242" t="s">
        <v>1027</v>
      </c>
      <c r="C113" s="170" t="s">
        <v>337</v>
      </c>
      <c r="D113" s="242" t="s">
        <v>259</v>
      </c>
      <c r="E113" s="242">
        <v>500</v>
      </c>
      <c r="F113" s="454">
        <f t="shared" si="1"/>
        <v>0.93386376795353099</v>
      </c>
      <c r="G113" s="239">
        <v>535.41</v>
      </c>
      <c r="H113" s="242" t="s">
        <v>122</v>
      </c>
      <c r="I113" s="242" t="s">
        <v>594</v>
      </c>
      <c r="J113" s="170" t="s">
        <v>96</v>
      </c>
      <c r="K113" s="170" t="s">
        <v>345</v>
      </c>
      <c r="L113" s="170" t="s">
        <v>113</v>
      </c>
      <c r="M113" s="75"/>
      <c r="N113" s="75"/>
      <c r="O113" s="75"/>
    </row>
    <row r="114" spans="1:15">
      <c r="A114" s="470">
        <v>46087</v>
      </c>
      <c r="B114" s="472" t="s">
        <v>1027</v>
      </c>
      <c r="C114" s="170" t="s">
        <v>337</v>
      </c>
      <c r="D114" s="472" t="s">
        <v>259</v>
      </c>
      <c r="E114" s="472">
        <v>500</v>
      </c>
      <c r="F114" s="454">
        <f t="shared" si="1"/>
        <v>0.93386376795353099</v>
      </c>
      <c r="G114" s="239">
        <v>535.41</v>
      </c>
      <c r="H114" s="472" t="s">
        <v>122</v>
      </c>
      <c r="I114" s="242" t="s">
        <v>594</v>
      </c>
      <c r="J114" s="170" t="s">
        <v>96</v>
      </c>
      <c r="K114" s="170" t="s">
        <v>345</v>
      </c>
      <c r="L114" s="170" t="s">
        <v>113</v>
      </c>
      <c r="M114" s="75"/>
      <c r="N114" s="75"/>
      <c r="O114" s="75"/>
    </row>
    <row r="115" spans="1:15">
      <c r="A115" s="453">
        <v>46087</v>
      </c>
      <c r="B115" s="170" t="s">
        <v>1039</v>
      </c>
      <c r="C115" s="170" t="s">
        <v>542</v>
      </c>
      <c r="D115" s="170" t="s">
        <v>259</v>
      </c>
      <c r="E115" s="170">
        <v>30000</v>
      </c>
      <c r="F115" s="454">
        <f t="shared" si="1"/>
        <v>56.031826077211861</v>
      </c>
      <c r="G115" s="239">
        <v>535.41</v>
      </c>
      <c r="H115" s="170" t="s">
        <v>131</v>
      </c>
      <c r="I115" s="170" t="s">
        <v>660</v>
      </c>
      <c r="J115" s="170" t="s">
        <v>96</v>
      </c>
      <c r="K115" s="170" t="s">
        <v>345</v>
      </c>
      <c r="L115" s="170" t="s">
        <v>113</v>
      </c>
      <c r="M115" s="75"/>
      <c r="N115" s="75"/>
      <c r="O115" s="75"/>
    </row>
    <row r="116" spans="1:15">
      <c r="A116" s="457">
        <v>46087</v>
      </c>
      <c r="B116" s="242" t="s">
        <v>1031</v>
      </c>
      <c r="C116" s="170" t="s">
        <v>337</v>
      </c>
      <c r="D116" s="242" t="s">
        <v>259</v>
      </c>
      <c r="E116" s="242">
        <v>500</v>
      </c>
      <c r="F116" s="454">
        <f t="shared" si="1"/>
        <v>0.93386376795353099</v>
      </c>
      <c r="G116" s="239">
        <v>535.41</v>
      </c>
      <c r="H116" s="242" t="s">
        <v>131</v>
      </c>
      <c r="I116" s="242" t="s">
        <v>653</v>
      </c>
      <c r="J116" s="170" t="s">
        <v>96</v>
      </c>
      <c r="K116" s="170" t="s">
        <v>345</v>
      </c>
      <c r="L116" s="170" t="s">
        <v>113</v>
      </c>
      <c r="M116" s="75"/>
      <c r="N116" s="75"/>
      <c r="O116" s="75"/>
    </row>
    <row r="117" spans="1:15">
      <c r="A117" s="453">
        <v>46087</v>
      </c>
      <c r="B117" s="170" t="s">
        <v>1043</v>
      </c>
      <c r="C117" s="242" t="s">
        <v>402</v>
      </c>
      <c r="D117" s="170" t="s">
        <v>259</v>
      </c>
      <c r="E117" s="170">
        <v>5000</v>
      </c>
      <c r="F117" s="454">
        <f t="shared" si="1"/>
        <v>9.3386376795353101</v>
      </c>
      <c r="G117" s="239">
        <v>535.41</v>
      </c>
      <c r="H117" s="170" t="s">
        <v>131</v>
      </c>
      <c r="I117" s="170" t="s">
        <v>661</v>
      </c>
      <c r="J117" s="170" t="s">
        <v>96</v>
      </c>
      <c r="K117" s="170" t="s">
        <v>345</v>
      </c>
      <c r="L117" s="170" t="s">
        <v>113</v>
      </c>
      <c r="M117" s="75"/>
      <c r="N117" s="75"/>
      <c r="O117" s="75"/>
    </row>
    <row r="118" spans="1:15">
      <c r="A118" s="457">
        <v>46087</v>
      </c>
      <c r="B118" s="242" t="s">
        <v>1027</v>
      </c>
      <c r="C118" s="170" t="s">
        <v>337</v>
      </c>
      <c r="D118" s="242" t="s">
        <v>259</v>
      </c>
      <c r="E118" s="242">
        <v>500</v>
      </c>
      <c r="F118" s="454">
        <f t="shared" si="1"/>
        <v>0.93386376795353099</v>
      </c>
      <c r="G118" s="239">
        <v>535.41</v>
      </c>
      <c r="H118" s="242" t="s">
        <v>131</v>
      </c>
      <c r="I118" s="242" t="s">
        <v>653</v>
      </c>
      <c r="J118" s="170" t="s">
        <v>96</v>
      </c>
      <c r="K118" s="170" t="s">
        <v>345</v>
      </c>
      <c r="L118" s="170" t="s">
        <v>113</v>
      </c>
      <c r="M118" s="75"/>
      <c r="N118" s="75"/>
      <c r="O118" s="75"/>
    </row>
    <row r="119" spans="1:15">
      <c r="A119" s="457">
        <v>46087</v>
      </c>
      <c r="B119" s="242" t="s">
        <v>1027</v>
      </c>
      <c r="C119" s="170" t="s">
        <v>337</v>
      </c>
      <c r="D119" s="242" t="s">
        <v>259</v>
      </c>
      <c r="E119" s="242">
        <v>500</v>
      </c>
      <c r="F119" s="454">
        <f t="shared" si="1"/>
        <v>0.93386376795353099</v>
      </c>
      <c r="G119" s="239">
        <v>535.41</v>
      </c>
      <c r="H119" s="242" t="s">
        <v>131</v>
      </c>
      <c r="I119" s="242" t="s">
        <v>653</v>
      </c>
      <c r="J119" s="170" t="s">
        <v>96</v>
      </c>
      <c r="K119" s="170" t="s">
        <v>345</v>
      </c>
      <c r="L119" s="170" t="s">
        <v>113</v>
      </c>
      <c r="M119" s="75"/>
      <c r="N119" s="75"/>
      <c r="O119" s="75"/>
    </row>
    <row r="120" spans="1:15">
      <c r="A120" s="457">
        <v>46087</v>
      </c>
      <c r="B120" s="242" t="s">
        <v>1027</v>
      </c>
      <c r="C120" s="170" t="s">
        <v>337</v>
      </c>
      <c r="D120" s="242" t="s">
        <v>259</v>
      </c>
      <c r="E120" s="242">
        <v>500</v>
      </c>
      <c r="F120" s="454">
        <f t="shared" si="1"/>
        <v>0.93386376795353099</v>
      </c>
      <c r="G120" s="239">
        <v>535.41</v>
      </c>
      <c r="H120" s="242" t="s">
        <v>131</v>
      </c>
      <c r="I120" s="242" t="s">
        <v>653</v>
      </c>
      <c r="J120" s="170" t="s">
        <v>96</v>
      </c>
      <c r="K120" s="170" t="s">
        <v>345</v>
      </c>
      <c r="L120" s="170" t="s">
        <v>113</v>
      </c>
      <c r="M120" s="75"/>
      <c r="N120" s="75"/>
      <c r="O120" s="75"/>
    </row>
    <row r="121" spans="1:15">
      <c r="A121" s="457">
        <v>46087</v>
      </c>
      <c r="B121" s="242" t="s">
        <v>1027</v>
      </c>
      <c r="C121" s="170" t="s">
        <v>337</v>
      </c>
      <c r="D121" s="242" t="s">
        <v>259</v>
      </c>
      <c r="E121" s="242">
        <v>500</v>
      </c>
      <c r="F121" s="454">
        <f t="shared" si="1"/>
        <v>0.93386376795353099</v>
      </c>
      <c r="G121" s="239">
        <v>535.41</v>
      </c>
      <c r="H121" s="242" t="s">
        <v>131</v>
      </c>
      <c r="I121" s="242" t="s">
        <v>653</v>
      </c>
      <c r="J121" s="170" t="s">
        <v>96</v>
      </c>
      <c r="K121" s="170" t="s">
        <v>345</v>
      </c>
      <c r="L121" s="170" t="s">
        <v>113</v>
      </c>
      <c r="M121" s="75"/>
      <c r="N121" s="75"/>
      <c r="O121" s="75"/>
    </row>
    <row r="122" spans="1:15">
      <c r="A122" s="457">
        <v>46087</v>
      </c>
      <c r="B122" s="242" t="s">
        <v>1050</v>
      </c>
      <c r="C122" s="242" t="s">
        <v>647</v>
      </c>
      <c r="D122" s="242" t="s">
        <v>259</v>
      </c>
      <c r="E122" s="242">
        <v>1500</v>
      </c>
      <c r="F122" s="454">
        <f t="shared" si="1"/>
        <v>2.8015913038605929</v>
      </c>
      <c r="G122" s="239">
        <v>535.41</v>
      </c>
      <c r="H122" s="242" t="s">
        <v>131</v>
      </c>
      <c r="I122" s="242" t="s">
        <v>658</v>
      </c>
      <c r="J122" s="170" t="s">
        <v>96</v>
      </c>
      <c r="K122" s="170" t="s">
        <v>345</v>
      </c>
      <c r="L122" s="170" t="s">
        <v>113</v>
      </c>
      <c r="M122" s="75"/>
      <c r="N122" s="75"/>
      <c r="O122" s="75"/>
    </row>
    <row r="123" spans="1:15">
      <c r="A123" s="457">
        <v>46087</v>
      </c>
      <c r="B123" s="242" t="s">
        <v>1031</v>
      </c>
      <c r="C123" s="170" t="s">
        <v>337</v>
      </c>
      <c r="D123" s="242" t="s">
        <v>259</v>
      </c>
      <c r="E123" s="242">
        <v>500</v>
      </c>
      <c r="F123" s="454">
        <f t="shared" si="1"/>
        <v>0.93386376795353099</v>
      </c>
      <c r="G123" s="239">
        <v>535.41</v>
      </c>
      <c r="H123" s="242" t="s">
        <v>131</v>
      </c>
      <c r="I123" s="242" t="s">
        <v>653</v>
      </c>
      <c r="J123" s="170" t="s">
        <v>96</v>
      </c>
      <c r="K123" s="170" t="s">
        <v>345</v>
      </c>
      <c r="L123" s="170" t="s">
        <v>113</v>
      </c>
      <c r="M123" s="75"/>
      <c r="N123" s="75"/>
      <c r="O123" s="75"/>
    </row>
    <row r="124" spans="1:15">
      <c r="A124" s="457">
        <v>46087</v>
      </c>
      <c r="B124" s="242" t="s">
        <v>1027</v>
      </c>
      <c r="C124" s="170" t="s">
        <v>337</v>
      </c>
      <c r="D124" s="242" t="s">
        <v>259</v>
      </c>
      <c r="E124" s="242">
        <v>500</v>
      </c>
      <c r="F124" s="454">
        <f t="shared" si="1"/>
        <v>0.93386376795353099</v>
      </c>
      <c r="G124" s="239">
        <v>535.41</v>
      </c>
      <c r="H124" s="242" t="s">
        <v>131</v>
      </c>
      <c r="I124" s="242" t="s">
        <v>653</v>
      </c>
      <c r="J124" s="170" t="s">
        <v>96</v>
      </c>
      <c r="K124" s="170" t="s">
        <v>345</v>
      </c>
      <c r="L124" s="170" t="s">
        <v>113</v>
      </c>
      <c r="M124" s="75"/>
      <c r="N124" s="75"/>
      <c r="O124" s="75"/>
    </row>
    <row r="125" spans="1:15">
      <c r="A125" s="428">
        <v>46088</v>
      </c>
      <c r="B125" s="429" t="s">
        <v>1033</v>
      </c>
      <c r="C125" s="170" t="s">
        <v>337</v>
      </c>
      <c r="D125" s="429" t="s">
        <v>259</v>
      </c>
      <c r="E125" s="429">
        <v>1500</v>
      </c>
      <c r="F125" s="454">
        <f t="shared" si="1"/>
        <v>2.8015913038605929</v>
      </c>
      <c r="G125" s="239">
        <v>535.41</v>
      </c>
      <c r="H125" s="429" t="s">
        <v>123</v>
      </c>
      <c r="I125" s="429" t="s">
        <v>550</v>
      </c>
      <c r="J125" s="170" t="s">
        <v>96</v>
      </c>
      <c r="K125" s="170" t="s">
        <v>345</v>
      </c>
      <c r="L125" s="170" t="s">
        <v>113</v>
      </c>
      <c r="M125" s="75"/>
      <c r="N125" s="75"/>
      <c r="O125" s="75"/>
    </row>
    <row r="126" spans="1:15">
      <c r="A126" s="428">
        <v>46088</v>
      </c>
      <c r="B126" s="429" t="s">
        <v>1033</v>
      </c>
      <c r="C126" s="170" t="s">
        <v>337</v>
      </c>
      <c r="D126" s="429" t="s">
        <v>259</v>
      </c>
      <c r="E126" s="429">
        <v>1000</v>
      </c>
      <c r="F126" s="454">
        <f t="shared" si="1"/>
        <v>1.867727535907062</v>
      </c>
      <c r="G126" s="239">
        <v>535.41</v>
      </c>
      <c r="H126" s="429" t="s">
        <v>123</v>
      </c>
      <c r="I126" s="429" t="s">
        <v>550</v>
      </c>
      <c r="J126" s="170" t="s">
        <v>96</v>
      </c>
      <c r="K126" s="170" t="s">
        <v>345</v>
      </c>
      <c r="L126" s="170" t="s">
        <v>113</v>
      </c>
      <c r="M126" s="75"/>
      <c r="N126" s="75"/>
      <c r="O126" s="75"/>
    </row>
    <row r="127" spans="1:15">
      <c r="A127" s="428">
        <v>46088</v>
      </c>
      <c r="B127" s="429" t="s">
        <v>1033</v>
      </c>
      <c r="C127" s="170" t="s">
        <v>337</v>
      </c>
      <c r="D127" s="429" t="s">
        <v>259</v>
      </c>
      <c r="E127" s="429">
        <v>1000</v>
      </c>
      <c r="F127" s="454">
        <f t="shared" si="1"/>
        <v>1.867727535907062</v>
      </c>
      <c r="G127" s="239">
        <v>535.41</v>
      </c>
      <c r="H127" s="429" t="s">
        <v>123</v>
      </c>
      <c r="I127" s="429" t="s">
        <v>550</v>
      </c>
      <c r="J127" s="170" t="s">
        <v>96</v>
      </c>
      <c r="K127" s="170" t="s">
        <v>345</v>
      </c>
      <c r="L127" s="170" t="s">
        <v>113</v>
      </c>
      <c r="M127" s="75"/>
      <c r="N127" s="75"/>
      <c r="O127" s="75"/>
    </row>
    <row r="128" spans="1:15">
      <c r="A128" s="428">
        <v>46088</v>
      </c>
      <c r="B128" s="429" t="s">
        <v>1033</v>
      </c>
      <c r="C128" s="170" t="s">
        <v>337</v>
      </c>
      <c r="D128" s="429" t="s">
        <v>259</v>
      </c>
      <c r="E128" s="429">
        <v>1000</v>
      </c>
      <c r="F128" s="454">
        <f t="shared" si="1"/>
        <v>1.867727535907062</v>
      </c>
      <c r="G128" s="239">
        <v>535.41</v>
      </c>
      <c r="H128" s="429" t="s">
        <v>123</v>
      </c>
      <c r="I128" s="429" t="s">
        <v>550</v>
      </c>
      <c r="J128" s="170" t="s">
        <v>96</v>
      </c>
      <c r="K128" s="170" t="s">
        <v>345</v>
      </c>
      <c r="L128" s="170" t="s">
        <v>113</v>
      </c>
      <c r="M128" s="75"/>
      <c r="N128" s="75"/>
      <c r="O128" s="75"/>
    </row>
    <row r="129" spans="1:15">
      <c r="A129" s="428">
        <v>46088</v>
      </c>
      <c r="B129" s="429" t="s">
        <v>1033</v>
      </c>
      <c r="C129" s="170" t="s">
        <v>337</v>
      </c>
      <c r="D129" s="429" t="s">
        <v>259</v>
      </c>
      <c r="E129" s="429">
        <v>1000</v>
      </c>
      <c r="F129" s="454">
        <f t="shared" si="1"/>
        <v>1.867727535907062</v>
      </c>
      <c r="G129" s="239">
        <v>535.41</v>
      </c>
      <c r="H129" s="429" t="s">
        <v>123</v>
      </c>
      <c r="I129" s="429" t="s">
        <v>550</v>
      </c>
      <c r="J129" s="170" t="s">
        <v>96</v>
      </c>
      <c r="K129" s="170" t="s">
        <v>345</v>
      </c>
      <c r="L129" s="170" t="s">
        <v>113</v>
      </c>
      <c r="M129" s="75"/>
      <c r="N129" s="75"/>
      <c r="O129" s="75"/>
    </row>
    <row r="130" spans="1:15">
      <c r="A130" s="428">
        <v>46088</v>
      </c>
      <c r="B130" s="429" t="s">
        <v>540</v>
      </c>
      <c r="C130" s="429" t="s">
        <v>541</v>
      </c>
      <c r="D130" s="429" t="s">
        <v>259</v>
      </c>
      <c r="E130" s="429">
        <v>6000</v>
      </c>
      <c r="F130" s="454">
        <f t="shared" ref="F130:F193" si="2">E130/G130</f>
        <v>11.206365215442371</v>
      </c>
      <c r="G130" s="239">
        <v>535.41</v>
      </c>
      <c r="H130" s="429" t="s">
        <v>123</v>
      </c>
      <c r="I130" s="429" t="s">
        <v>551</v>
      </c>
      <c r="J130" s="170" t="s">
        <v>96</v>
      </c>
      <c r="K130" s="170" t="s">
        <v>345</v>
      </c>
      <c r="L130" s="170" t="s">
        <v>113</v>
      </c>
      <c r="M130" s="75"/>
      <c r="N130" s="75"/>
      <c r="O130" s="75"/>
    </row>
    <row r="131" spans="1:15">
      <c r="A131" s="457">
        <v>46088</v>
      </c>
      <c r="B131" s="242" t="s">
        <v>1031</v>
      </c>
      <c r="C131" s="170" t="s">
        <v>337</v>
      </c>
      <c r="D131" s="242" t="s">
        <v>259</v>
      </c>
      <c r="E131" s="242">
        <v>500</v>
      </c>
      <c r="F131" s="454">
        <f t="shared" si="2"/>
        <v>0.93386376795353099</v>
      </c>
      <c r="G131" s="239">
        <v>535.41</v>
      </c>
      <c r="H131" s="242" t="s">
        <v>122</v>
      </c>
      <c r="I131" s="242" t="s">
        <v>594</v>
      </c>
      <c r="J131" s="170" t="s">
        <v>96</v>
      </c>
      <c r="K131" s="170" t="s">
        <v>345</v>
      </c>
      <c r="L131" s="170" t="s">
        <v>113</v>
      </c>
      <c r="M131" s="75"/>
      <c r="N131" s="75"/>
      <c r="O131" s="75"/>
    </row>
    <row r="132" spans="1:15">
      <c r="A132" s="457">
        <v>46088</v>
      </c>
      <c r="B132" s="242" t="s">
        <v>1031</v>
      </c>
      <c r="C132" s="170" t="s">
        <v>337</v>
      </c>
      <c r="D132" s="242" t="s">
        <v>259</v>
      </c>
      <c r="E132" s="242">
        <v>500</v>
      </c>
      <c r="F132" s="454">
        <f t="shared" si="2"/>
        <v>0.93386376795353099</v>
      </c>
      <c r="G132" s="239">
        <v>535.41</v>
      </c>
      <c r="H132" s="242" t="s">
        <v>122</v>
      </c>
      <c r="I132" s="242" t="s">
        <v>594</v>
      </c>
      <c r="J132" s="170" t="s">
        <v>96</v>
      </c>
      <c r="K132" s="170" t="s">
        <v>345</v>
      </c>
      <c r="L132" s="170" t="s">
        <v>113</v>
      </c>
      <c r="M132" s="75"/>
      <c r="N132" s="75"/>
      <c r="O132" s="75"/>
    </row>
    <row r="133" spans="1:15">
      <c r="A133" s="457">
        <v>46088</v>
      </c>
      <c r="B133" s="242" t="s">
        <v>1027</v>
      </c>
      <c r="C133" s="170" t="s">
        <v>337</v>
      </c>
      <c r="D133" s="242" t="s">
        <v>259</v>
      </c>
      <c r="E133" s="242">
        <v>500</v>
      </c>
      <c r="F133" s="454">
        <f t="shared" si="2"/>
        <v>0.93386376795353099</v>
      </c>
      <c r="G133" s="239">
        <v>535.41</v>
      </c>
      <c r="H133" s="242" t="s">
        <v>122</v>
      </c>
      <c r="I133" s="242" t="s">
        <v>594</v>
      </c>
      <c r="J133" s="170" t="s">
        <v>96</v>
      </c>
      <c r="K133" s="170" t="s">
        <v>345</v>
      </c>
      <c r="L133" s="170" t="s">
        <v>113</v>
      </c>
      <c r="M133" s="75"/>
      <c r="N133" s="75"/>
      <c r="O133" s="75"/>
    </row>
    <row r="134" spans="1:15">
      <c r="A134" s="457">
        <v>46088</v>
      </c>
      <c r="B134" s="242" t="s">
        <v>1027</v>
      </c>
      <c r="C134" s="170" t="s">
        <v>337</v>
      </c>
      <c r="D134" s="242" t="s">
        <v>259</v>
      </c>
      <c r="E134" s="242">
        <v>500</v>
      </c>
      <c r="F134" s="454">
        <f t="shared" si="2"/>
        <v>0.93386376795353099</v>
      </c>
      <c r="G134" s="239">
        <v>535.41</v>
      </c>
      <c r="H134" s="242" t="s">
        <v>122</v>
      </c>
      <c r="I134" s="242" t="s">
        <v>594</v>
      </c>
      <c r="J134" s="170" t="s">
        <v>96</v>
      </c>
      <c r="K134" s="170" t="s">
        <v>345</v>
      </c>
      <c r="L134" s="170" t="s">
        <v>113</v>
      </c>
      <c r="M134" s="75"/>
      <c r="N134" s="75"/>
      <c r="O134" s="75"/>
    </row>
    <row r="135" spans="1:15">
      <c r="A135" s="457">
        <v>46088</v>
      </c>
      <c r="B135" s="242" t="s">
        <v>1027</v>
      </c>
      <c r="C135" s="170" t="s">
        <v>337</v>
      </c>
      <c r="D135" s="242" t="s">
        <v>259</v>
      </c>
      <c r="E135" s="242">
        <v>500</v>
      </c>
      <c r="F135" s="454">
        <f t="shared" si="2"/>
        <v>0.93386376795353099</v>
      </c>
      <c r="G135" s="239">
        <v>535.41</v>
      </c>
      <c r="H135" s="242" t="s">
        <v>122</v>
      </c>
      <c r="I135" s="242" t="s">
        <v>594</v>
      </c>
      <c r="J135" s="170" t="s">
        <v>96</v>
      </c>
      <c r="K135" s="170" t="s">
        <v>345</v>
      </c>
      <c r="L135" s="170" t="s">
        <v>113</v>
      </c>
      <c r="M135" s="75"/>
      <c r="N135" s="75"/>
      <c r="O135" s="75"/>
    </row>
    <row r="136" spans="1:15">
      <c r="A136" s="457">
        <v>46088</v>
      </c>
      <c r="B136" s="242" t="s">
        <v>1027</v>
      </c>
      <c r="C136" s="170" t="s">
        <v>337</v>
      </c>
      <c r="D136" s="242" t="s">
        <v>259</v>
      </c>
      <c r="E136" s="242">
        <v>500</v>
      </c>
      <c r="F136" s="454">
        <f t="shared" si="2"/>
        <v>0.93386376795353099</v>
      </c>
      <c r="G136" s="239">
        <v>535.41</v>
      </c>
      <c r="H136" s="242" t="s">
        <v>122</v>
      </c>
      <c r="I136" s="242" t="s">
        <v>594</v>
      </c>
      <c r="J136" s="170" t="s">
        <v>96</v>
      </c>
      <c r="K136" s="170" t="s">
        <v>345</v>
      </c>
      <c r="L136" s="170" t="s">
        <v>113</v>
      </c>
      <c r="M136" s="75"/>
      <c r="N136" s="75"/>
      <c r="O136" s="75"/>
    </row>
    <row r="137" spans="1:15">
      <c r="A137" s="457">
        <v>46088</v>
      </c>
      <c r="B137" s="242" t="s">
        <v>1088</v>
      </c>
      <c r="C137" s="242" t="s">
        <v>402</v>
      </c>
      <c r="D137" s="242" t="s">
        <v>259</v>
      </c>
      <c r="E137" s="242">
        <v>12000</v>
      </c>
      <c r="F137" s="454">
        <f t="shared" si="2"/>
        <v>22.412730430884743</v>
      </c>
      <c r="G137" s="239">
        <v>535.41</v>
      </c>
      <c r="H137" s="242" t="s">
        <v>122</v>
      </c>
      <c r="I137" s="242" t="s">
        <v>601</v>
      </c>
      <c r="J137" s="170" t="s">
        <v>96</v>
      </c>
      <c r="K137" s="170" t="s">
        <v>345</v>
      </c>
      <c r="L137" s="170" t="s">
        <v>113</v>
      </c>
      <c r="M137" s="75"/>
      <c r="N137" s="75"/>
      <c r="O137" s="75"/>
    </row>
    <row r="138" spans="1:15">
      <c r="A138" s="457">
        <v>46088</v>
      </c>
      <c r="B138" s="242" t="s">
        <v>1050</v>
      </c>
      <c r="C138" s="242" t="s">
        <v>587</v>
      </c>
      <c r="D138" s="242" t="s">
        <v>259</v>
      </c>
      <c r="E138" s="242">
        <v>2000</v>
      </c>
      <c r="F138" s="454">
        <f t="shared" si="2"/>
        <v>3.735455071814124</v>
      </c>
      <c r="G138" s="239">
        <v>535.41</v>
      </c>
      <c r="H138" s="242" t="s">
        <v>122</v>
      </c>
      <c r="I138" s="242" t="s">
        <v>596</v>
      </c>
      <c r="J138" s="170" t="s">
        <v>96</v>
      </c>
      <c r="K138" s="170" t="s">
        <v>345</v>
      </c>
      <c r="L138" s="170" t="s">
        <v>113</v>
      </c>
      <c r="M138" s="75"/>
      <c r="N138" s="75"/>
      <c r="O138" s="75"/>
    </row>
    <row r="139" spans="1:15">
      <c r="A139" s="457">
        <v>46088</v>
      </c>
      <c r="B139" s="242" t="s">
        <v>1027</v>
      </c>
      <c r="C139" s="170" t="s">
        <v>337</v>
      </c>
      <c r="D139" s="242" t="s">
        <v>259</v>
      </c>
      <c r="E139" s="242">
        <v>500</v>
      </c>
      <c r="F139" s="454">
        <f t="shared" si="2"/>
        <v>0.93386376795353099</v>
      </c>
      <c r="G139" s="239">
        <v>535.41</v>
      </c>
      <c r="H139" s="242" t="s">
        <v>131</v>
      </c>
      <c r="I139" s="242" t="s">
        <v>653</v>
      </c>
      <c r="J139" s="170" t="s">
        <v>96</v>
      </c>
      <c r="K139" s="170" t="s">
        <v>345</v>
      </c>
      <c r="L139" s="170" t="s">
        <v>113</v>
      </c>
      <c r="M139" s="75"/>
      <c r="N139" s="75"/>
      <c r="O139" s="75"/>
    </row>
    <row r="140" spans="1:15">
      <c r="A140" s="457">
        <v>46088</v>
      </c>
      <c r="B140" s="242" t="s">
        <v>1027</v>
      </c>
      <c r="C140" s="170" t="s">
        <v>337</v>
      </c>
      <c r="D140" s="242" t="s">
        <v>259</v>
      </c>
      <c r="E140" s="242">
        <v>500</v>
      </c>
      <c r="F140" s="454">
        <f t="shared" si="2"/>
        <v>0.93386376795353099</v>
      </c>
      <c r="G140" s="239">
        <v>535.41</v>
      </c>
      <c r="H140" s="242" t="s">
        <v>131</v>
      </c>
      <c r="I140" s="242" t="s">
        <v>653</v>
      </c>
      <c r="J140" s="170" t="s">
        <v>96</v>
      </c>
      <c r="K140" s="170" t="s">
        <v>345</v>
      </c>
      <c r="L140" s="170" t="s">
        <v>113</v>
      </c>
      <c r="M140" s="75"/>
      <c r="N140" s="75"/>
      <c r="O140" s="75"/>
    </row>
    <row r="141" spans="1:15">
      <c r="A141" s="457">
        <v>46088</v>
      </c>
      <c r="B141" s="242" t="s">
        <v>1050</v>
      </c>
      <c r="C141" s="242" t="s">
        <v>647</v>
      </c>
      <c r="D141" s="242" t="s">
        <v>259</v>
      </c>
      <c r="E141" s="242">
        <v>2000</v>
      </c>
      <c r="F141" s="454">
        <f t="shared" si="2"/>
        <v>3.735455071814124</v>
      </c>
      <c r="G141" s="239">
        <v>535.41</v>
      </c>
      <c r="H141" s="242" t="s">
        <v>131</v>
      </c>
      <c r="I141" s="242" t="s">
        <v>658</v>
      </c>
      <c r="J141" s="170" t="s">
        <v>96</v>
      </c>
      <c r="K141" s="170" t="s">
        <v>345</v>
      </c>
      <c r="L141" s="170" t="s">
        <v>113</v>
      </c>
      <c r="M141" s="75"/>
      <c r="N141" s="75"/>
      <c r="O141" s="75"/>
    </row>
    <row r="142" spans="1:15">
      <c r="A142" s="457">
        <v>46088</v>
      </c>
      <c r="B142" s="242" t="s">
        <v>1027</v>
      </c>
      <c r="C142" s="170" t="s">
        <v>337</v>
      </c>
      <c r="D142" s="242" t="s">
        <v>259</v>
      </c>
      <c r="E142" s="242">
        <v>500</v>
      </c>
      <c r="F142" s="454">
        <f t="shared" si="2"/>
        <v>0.93386376795353099</v>
      </c>
      <c r="G142" s="239">
        <v>535.41</v>
      </c>
      <c r="H142" s="242" t="s">
        <v>131</v>
      </c>
      <c r="I142" s="242" t="s">
        <v>653</v>
      </c>
      <c r="J142" s="170" t="s">
        <v>96</v>
      </c>
      <c r="K142" s="170" t="s">
        <v>345</v>
      </c>
      <c r="L142" s="170" t="s">
        <v>113</v>
      </c>
      <c r="M142" s="75"/>
      <c r="N142" s="75"/>
      <c r="O142" s="75"/>
    </row>
    <row r="143" spans="1:15">
      <c r="A143" s="457">
        <v>46088</v>
      </c>
      <c r="B143" s="242" t="s">
        <v>1027</v>
      </c>
      <c r="C143" s="170" t="s">
        <v>337</v>
      </c>
      <c r="D143" s="242" t="s">
        <v>259</v>
      </c>
      <c r="E143" s="242">
        <v>500</v>
      </c>
      <c r="F143" s="454">
        <f t="shared" si="2"/>
        <v>0.93386376795353099</v>
      </c>
      <c r="G143" s="239">
        <v>535.41</v>
      </c>
      <c r="H143" s="242" t="s">
        <v>131</v>
      </c>
      <c r="I143" s="242" t="s">
        <v>653</v>
      </c>
      <c r="J143" s="170" t="s">
        <v>96</v>
      </c>
      <c r="K143" s="170" t="s">
        <v>345</v>
      </c>
      <c r="L143" s="170" t="s">
        <v>113</v>
      </c>
      <c r="M143" s="75"/>
      <c r="N143" s="75"/>
      <c r="O143" s="75"/>
    </row>
    <row r="144" spans="1:15">
      <c r="A144" s="457">
        <v>46088</v>
      </c>
      <c r="B144" s="242" t="s">
        <v>1027</v>
      </c>
      <c r="C144" s="170" t="s">
        <v>337</v>
      </c>
      <c r="D144" s="242" t="s">
        <v>259</v>
      </c>
      <c r="E144" s="242">
        <v>500</v>
      </c>
      <c r="F144" s="454">
        <f t="shared" si="2"/>
        <v>0.93386376795353099</v>
      </c>
      <c r="G144" s="239">
        <v>535.41</v>
      </c>
      <c r="H144" s="242" t="s">
        <v>131</v>
      </c>
      <c r="I144" s="242" t="s">
        <v>653</v>
      </c>
      <c r="J144" s="170" t="s">
        <v>96</v>
      </c>
      <c r="K144" s="170" t="s">
        <v>345</v>
      </c>
      <c r="L144" s="170" t="s">
        <v>113</v>
      </c>
      <c r="M144" s="75"/>
      <c r="N144" s="75"/>
      <c r="O144" s="75"/>
    </row>
    <row r="145" spans="1:15" s="246" customFormat="1">
      <c r="A145" s="453">
        <v>46089</v>
      </c>
      <c r="B145" s="170" t="s">
        <v>1048</v>
      </c>
      <c r="C145" s="170" t="s">
        <v>406</v>
      </c>
      <c r="D145" s="170" t="s">
        <v>259</v>
      </c>
      <c r="E145" s="170">
        <v>20000</v>
      </c>
      <c r="F145" s="454">
        <f t="shared" si="2"/>
        <v>37.35455071814124</v>
      </c>
      <c r="G145" s="239">
        <v>535.41</v>
      </c>
      <c r="H145" s="170" t="s">
        <v>122</v>
      </c>
      <c r="I145" s="170" t="s">
        <v>602</v>
      </c>
      <c r="J145" s="170" t="s">
        <v>96</v>
      </c>
      <c r="K145" s="170" t="s">
        <v>345</v>
      </c>
      <c r="L145" s="170" t="s">
        <v>113</v>
      </c>
      <c r="M145" s="124"/>
      <c r="N145" s="124"/>
      <c r="O145" s="124"/>
    </row>
    <row r="146" spans="1:15">
      <c r="A146" s="457">
        <v>46089</v>
      </c>
      <c r="B146" s="242" t="s">
        <v>1027</v>
      </c>
      <c r="C146" s="170" t="s">
        <v>337</v>
      </c>
      <c r="D146" s="242" t="s">
        <v>259</v>
      </c>
      <c r="E146" s="242">
        <v>500</v>
      </c>
      <c r="F146" s="454">
        <f t="shared" si="2"/>
        <v>0.93386376795353099</v>
      </c>
      <c r="G146" s="239">
        <v>535.41</v>
      </c>
      <c r="H146" s="242" t="s">
        <v>122</v>
      </c>
      <c r="I146" s="242" t="s">
        <v>594</v>
      </c>
      <c r="J146" s="170" t="s">
        <v>96</v>
      </c>
      <c r="K146" s="170" t="s">
        <v>345</v>
      </c>
      <c r="L146" s="170" t="s">
        <v>113</v>
      </c>
      <c r="M146" s="75"/>
      <c r="N146" s="75"/>
      <c r="O146" s="75"/>
    </row>
    <row r="147" spans="1:15">
      <c r="A147" s="457">
        <v>46089</v>
      </c>
      <c r="B147" s="242" t="s">
        <v>1027</v>
      </c>
      <c r="C147" s="170" t="s">
        <v>337</v>
      </c>
      <c r="D147" s="242" t="s">
        <v>259</v>
      </c>
      <c r="E147" s="242">
        <v>1000</v>
      </c>
      <c r="F147" s="454">
        <f t="shared" si="2"/>
        <v>1.867727535907062</v>
      </c>
      <c r="G147" s="239">
        <v>535.41</v>
      </c>
      <c r="H147" s="242" t="s">
        <v>122</v>
      </c>
      <c r="I147" s="242" t="s">
        <v>594</v>
      </c>
      <c r="J147" s="170" t="s">
        <v>96</v>
      </c>
      <c r="K147" s="170" t="s">
        <v>345</v>
      </c>
      <c r="L147" s="170" t="s">
        <v>113</v>
      </c>
      <c r="M147" s="75"/>
      <c r="N147" s="75"/>
      <c r="O147" s="75"/>
    </row>
    <row r="148" spans="1:15">
      <c r="A148" s="453">
        <v>46089</v>
      </c>
      <c r="B148" s="170" t="s">
        <v>1055</v>
      </c>
      <c r="C148" s="170" t="s">
        <v>542</v>
      </c>
      <c r="D148" s="170" t="s">
        <v>259</v>
      </c>
      <c r="E148" s="170">
        <v>20000</v>
      </c>
      <c r="F148" s="454">
        <f t="shared" si="2"/>
        <v>37.35455071814124</v>
      </c>
      <c r="G148" s="239">
        <v>535.41</v>
      </c>
      <c r="H148" s="170" t="s">
        <v>131</v>
      </c>
      <c r="I148" s="170" t="s">
        <v>662</v>
      </c>
      <c r="J148" s="170" t="s">
        <v>96</v>
      </c>
      <c r="K148" s="170" t="s">
        <v>345</v>
      </c>
      <c r="L148" s="170" t="s">
        <v>113</v>
      </c>
      <c r="M148" s="75"/>
      <c r="N148" s="75"/>
      <c r="O148" s="75"/>
    </row>
    <row r="149" spans="1:15">
      <c r="A149" s="457">
        <v>46089</v>
      </c>
      <c r="B149" s="242" t="s">
        <v>1027</v>
      </c>
      <c r="C149" s="170" t="s">
        <v>337</v>
      </c>
      <c r="D149" s="242" t="s">
        <v>259</v>
      </c>
      <c r="E149" s="242">
        <v>500</v>
      </c>
      <c r="F149" s="454">
        <f t="shared" si="2"/>
        <v>0.93386376795353099</v>
      </c>
      <c r="G149" s="239">
        <v>535.41</v>
      </c>
      <c r="H149" s="242" t="s">
        <v>131</v>
      </c>
      <c r="I149" s="242" t="s">
        <v>653</v>
      </c>
      <c r="J149" s="170" t="s">
        <v>96</v>
      </c>
      <c r="K149" s="170" t="s">
        <v>345</v>
      </c>
      <c r="L149" s="170" t="s">
        <v>113</v>
      </c>
      <c r="M149" s="75"/>
      <c r="N149" s="75"/>
      <c r="O149" s="75"/>
    </row>
    <row r="150" spans="1:15">
      <c r="A150" s="453">
        <v>46089</v>
      </c>
      <c r="B150" s="170" t="s">
        <v>1028</v>
      </c>
      <c r="C150" s="242" t="s">
        <v>402</v>
      </c>
      <c r="D150" s="170" t="s">
        <v>259</v>
      </c>
      <c r="E150" s="170">
        <v>8000</v>
      </c>
      <c r="F150" s="454">
        <f t="shared" si="2"/>
        <v>14.941820287256496</v>
      </c>
      <c r="G150" s="239">
        <v>535.41</v>
      </c>
      <c r="H150" s="170" t="s">
        <v>131</v>
      </c>
      <c r="I150" s="170" t="s">
        <v>663</v>
      </c>
      <c r="J150" s="170" t="s">
        <v>96</v>
      </c>
      <c r="K150" s="170" t="s">
        <v>345</v>
      </c>
      <c r="L150" s="170" t="s">
        <v>113</v>
      </c>
      <c r="M150" s="75"/>
      <c r="N150" s="75"/>
      <c r="O150" s="75"/>
    </row>
    <row r="151" spans="1:15">
      <c r="A151" s="457">
        <v>46089</v>
      </c>
      <c r="B151" s="242" t="s">
        <v>1025</v>
      </c>
      <c r="C151" s="170" t="s">
        <v>337</v>
      </c>
      <c r="D151" s="242" t="s">
        <v>259</v>
      </c>
      <c r="E151" s="242">
        <v>2000</v>
      </c>
      <c r="F151" s="454">
        <f t="shared" si="2"/>
        <v>3.735455071814124</v>
      </c>
      <c r="G151" s="239">
        <v>535.41</v>
      </c>
      <c r="H151" s="242" t="s">
        <v>131</v>
      </c>
      <c r="I151" s="242" t="s">
        <v>653</v>
      </c>
      <c r="J151" s="170" t="s">
        <v>96</v>
      </c>
      <c r="K151" s="170" t="s">
        <v>345</v>
      </c>
      <c r="L151" s="170" t="s">
        <v>113</v>
      </c>
      <c r="M151" s="75"/>
      <c r="N151" s="75"/>
      <c r="O151" s="75"/>
    </row>
    <row r="152" spans="1:15">
      <c r="A152" s="457">
        <v>46090</v>
      </c>
      <c r="B152" s="242" t="s">
        <v>188</v>
      </c>
      <c r="C152" s="170" t="s">
        <v>337</v>
      </c>
      <c r="D152" s="458" t="s">
        <v>99</v>
      </c>
      <c r="E152" s="242">
        <v>1000</v>
      </c>
      <c r="F152" s="454">
        <f t="shared" si="2"/>
        <v>1.8771635173931283</v>
      </c>
      <c r="G152" s="239">
        <v>532.71864210781655</v>
      </c>
      <c r="H152" s="459" t="s">
        <v>111</v>
      </c>
      <c r="I152" s="170" t="s">
        <v>380</v>
      </c>
      <c r="J152" s="170" t="s">
        <v>96</v>
      </c>
      <c r="K152" s="170" t="s">
        <v>345</v>
      </c>
      <c r="L152" s="170" t="s">
        <v>113</v>
      </c>
      <c r="M152" s="361"/>
      <c r="N152" s="361"/>
      <c r="O152" s="271"/>
    </row>
    <row r="153" spans="1:15">
      <c r="A153" s="457">
        <v>46090</v>
      </c>
      <c r="B153" s="242" t="s">
        <v>186</v>
      </c>
      <c r="C153" s="170" t="s">
        <v>337</v>
      </c>
      <c r="D153" s="458" t="s">
        <v>99</v>
      </c>
      <c r="E153" s="242">
        <v>1000</v>
      </c>
      <c r="F153" s="454">
        <f t="shared" si="2"/>
        <v>1.9054742621280678</v>
      </c>
      <c r="G153" s="239">
        <v>524.80372990353703</v>
      </c>
      <c r="H153" s="459" t="s">
        <v>111</v>
      </c>
      <c r="I153" s="170" t="s">
        <v>380</v>
      </c>
      <c r="J153" s="170" t="s">
        <v>96</v>
      </c>
      <c r="K153" s="170" t="s">
        <v>345</v>
      </c>
      <c r="L153" s="170" t="s">
        <v>113</v>
      </c>
      <c r="M153" s="366"/>
      <c r="N153" s="364"/>
      <c r="O153" s="75"/>
    </row>
    <row r="154" spans="1:15">
      <c r="A154" s="457">
        <v>46090</v>
      </c>
      <c r="B154" s="242" t="s">
        <v>359</v>
      </c>
      <c r="C154" s="170" t="s">
        <v>337</v>
      </c>
      <c r="D154" s="458" t="s">
        <v>99</v>
      </c>
      <c r="E154" s="242">
        <v>1000</v>
      </c>
      <c r="F154" s="454">
        <f t="shared" si="2"/>
        <v>1.8771635173931283</v>
      </c>
      <c r="G154" s="239">
        <v>532.71864210781655</v>
      </c>
      <c r="H154" s="459" t="s">
        <v>111</v>
      </c>
      <c r="I154" s="170" t="s">
        <v>380</v>
      </c>
      <c r="J154" s="170" t="s">
        <v>96</v>
      </c>
      <c r="K154" s="170" t="s">
        <v>345</v>
      </c>
      <c r="L154" s="170" t="s">
        <v>113</v>
      </c>
      <c r="M154" s="361"/>
      <c r="N154" s="361"/>
      <c r="O154" s="247"/>
    </row>
    <row r="155" spans="1:15">
      <c r="A155" s="457">
        <v>46090</v>
      </c>
      <c r="B155" s="242" t="s">
        <v>360</v>
      </c>
      <c r="C155" s="170" t="s">
        <v>337</v>
      </c>
      <c r="D155" s="458" t="s">
        <v>99</v>
      </c>
      <c r="E155" s="242">
        <v>1000</v>
      </c>
      <c r="F155" s="454">
        <f t="shared" si="2"/>
        <v>1.8771635173931283</v>
      </c>
      <c r="G155" s="239">
        <v>532.71864210781655</v>
      </c>
      <c r="H155" s="459" t="s">
        <v>111</v>
      </c>
      <c r="I155" s="170" t="s">
        <v>380</v>
      </c>
      <c r="J155" s="170" t="s">
        <v>96</v>
      </c>
      <c r="K155" s="170" t="s">
        <v>345</v>
      </c>
      <c r="L155" s="170" t="s">
        <v>113</v>
      </c>
      <c r="M155" s="361"/>
      <c r="N155" s="361"/>
      <c r="O155" s="271"/>
    </row>
    <row r="156" spans="1:15">
      <c r="A156" s="457">
        <v>46090</v>
      </c>
      <c r="B156" s="242" t="s">
        <v>192</v>
      </c>
      <c r="C156" s="170" t="s">
        <v>337</v>
      </c>
      <c r="D156" s="458" t="s">
        <v>99</v>
      </c>
      <c r="E156" s="242">
        <v>1000</v>
      </c>
      <c r="F156" s="454">
        <f t="shared" si="2"/>
        <v>1.8771635173931283</v>
      </c>
      <c r="G156" s="239">
        <v>532.71864210781655</v>
      </c>
      <c r="H156" s="459" t="s">
        <v>111</v>
      </c>
      <c r="I156" s="170" t="s">
        <v>380</v>
      </c>
      <c r="J156" s="170" t="s">
        <v>96</v>
      </c>
      <c r="K156" s="170" t="s">
        <v>345</v>
      </c>
      <c r="L156" s="170" t="s">
        <v>113</v>
      </c>
      <c r="M156" s="361"/>
      <c r="N156" s="361"/>
      <c r="O156" s="271"/>
    </row>
    <row r="157" spans="1:15">
      <c r="A157" s="461">
        <v>46090</v>
      </c>
      <c r="B157" s="449" t="s">
        <v>395</v>
      </c>
      <c r="C157" s="449" t="s">
        <v>104</v>
      </c>
      <c r="D157" s="463" t="s">
        <v>97</v>
      </c>
      <c r="E157" s="460">
        <v>154370</v>
      </c>
      <c r="F157" s="454">
        <f t="shared" si="2"/>
        <v>297.23639422524388</v>
      </c>
      <c r="G157" s="239">
        <v>519.35093749999999</v>
      </c>
      <c r="H157" s="165" t="s">
        <v>128</v>
      </c>
      <c r="I157" s="242" t="s">
        <v>426</v>
      </c>
      <c r="J157" s="170" t="s">
        <v>96</v>
      </c>
      <c r="K157" s="170" t="s">
        <v>345</v>
      </c>
      <c r="L157" s="170" t="s">
        <v>113</v>
      </c>
      <c r="M157" s="364"/>
      <c r="N157" s="364"/>
      <c r="O157" s="75"/>
    </row>
    <row r="158" spans="1:15">
      <c r="A158" s="453">
        <v>46090</v>
      </c>
      <c r="B158" s="242" t="s">
        <v>448</v>
      </c>
      <c r="C158" s="242" t="s">
        <v>104</v>
      </c>
      <c r="D158" s="242" t="s">
        <v>98</v>
      </c>
      <c r="E158" s="460">
        <v>68800</v>
      </c>
      <c r="F158" s="454">
        <f t="shared" si="2"/>
        <v>128.49965447040586</v>
      </c>
      <c r="G158" s="239">
        <v>535.41</v>
      </c>
      <c r="H158" s="242" t="s">
        <v>168</v>
      </c>
      <c r="I158" s="242" t="s">
        <v>514</v>
      </c>
      <c r="J158" s="170" t="s">
        <v>96</v>
      </c>
      <c r="K158" s="170" t="s">
        <v>345</v>
      </c>
      <c r="L158" s="170" t="s">
        <v>113</v>
      </c>
      <c r="M158" s="75"/>
      <c r="N158" s="75"/>
      <c r="O158" s="75"/>
    </row>
    <row r="159" spans="1:15">
      <c r="A159" s="467">
        <v>46090</v>
      </c>
      <c r="B159" s="242" t="s">
        <v>449</v>
      </c>
      <c r="C159" s="170" t="s">
        <v>337</v>
      </c>
      <c r="D159" s="242" t="s">
        <v>98</v>
      </c>
      <c r="E159" s="298">
        <v>1000</v>
      </c>
      <c r="F159" s="454">
        <f t="shared" si="2"/>
        <v>1.867727535907062</v>
      </c>
      <c r="G159" s="239">
        <v>535.41</v>
      </c>
      <c r="H159" s="242" t="s">
        <v>168</v>
      </c>
      <c r="I159" s="242" t="s">
        <v>510</v>
      </c>
      <c r="J159" s="170" t="s">
        <v>96</v>
      </c>
      <c r="K159" s="170" t="s">
        <v>345</v>
      </c>
      <c r="L159" s="170" t="s">
        <v>113</v>
      </c>
      <c r="M159" s="75"/>
      <c r="N159" s="75"/>
      <c r="O159" s="75"/>
    </row>
    <row r="160" spans="1:15">
      <c r="A160" s="467">
        <v>46090</v>
      </c>
      <c r="B160" s="242" t="s">
        <v>450</v>
      </c>
      <c r="C160" s="170" t="s">
        <v>337</v>
      </c>
      <c r="D160" s="242" t="s">
        <v>98</v>
      </c>
      <c r="E160" s="298">
        <v>1000</v>
      </c>
      <c r="F160" s="454">
        <f t="shared" si="2"/>
        <v>1.867727535907062</v>
      </c>
      <c r="G160" s="239">
        <v>535.41</v>
      </c>
      <c r="H160" s="242" t="s">
        <v>168</v>
      </c>
      <c r="I160" s="242" t="s">
        <v>510</v>
      </c>
      <c r="J160" s="170" t="s">
        <v>96</v>
      </c>
      <c r="K160" s="170" t="s">
        <v>345</v>
      </c>
      <c r="L160" s="170" t="s">
        <v>113</v>
      </c>
      <c r="M160" s="75"/>
      <c r="N160" s="75"/>
      <c r="O160" s="75"/>
    </row>
    <row r="161" spans="1:15">
      <c r="A161" s="467">
        <v>46090</v>
      </c>
      <c r="B161" s="242" t="s">
        <v>451</v>
      </c>
      <c r="C161" s="170" t="s">
        <v>337</v>
      </c>
      <c r="D161" s="242" t="s">
        <v>98</v>
      </c>
      <c r="E161" s="298">
        <v>1000</v>
      </c>
      <c r="F161" s="454">
        <f t="shared" si="2"/>
        <v>1.867727535907062</v>
      </c>
      <c r="G161" s="239">
        <v>535.41</v>
      </c>
      <c r="H161" s="242" t="s">
        <v>168</v>
      </c>
      <c r="I161" s="242" t="s">
        <v>510</v>
      </c>
      <c r="J161" s="170" t="s">
        <v>96</v>
      </c>
      <c r="K161" s="170" t="s">
        <v>345</v>
      </c>
      <c r="L161" s="170" t="s">
        <v>113</v>
      </c>
      <c r="M161" s="75"/>
      <c r="N161" s="75"/>
      <c r="O161" s="75"/>
    </row>
    <row r="162" spans="1:15">
      <c r="A162" s="467">
        <v>46091</v>
      </c>
      <c r="B162" s="242" t="s">
        <v>452</v>
      </c>
      <c r="C162" s="242" t="s">
        <v>110</v>
      </c>
      <c r="D162" s="242" t="s">
        <v>99</v>
      </c>
      <c r="E162" s="298">
        <v>5000</v>
      </c>
      <c r="F162" s="454">
        <f t="shared" si="2"/>
        <v>9.3386376795353101</v>
      </c>
      <c r="G162" s="239">
        <v>535.41</v>
      </c>
      <c r="H162" s="242" t="s">
        <v>168</v>
      </c>
      <c r="I162" s="242" t="s">
        <v>515</v>
      </c>
      <c r="J162" s="170" t="s">
        <v>96</v>
      </c>
      <c r="K162" s="170" t="s">
        <v>345</v>
      </c>
      <c r="L162" s="170" t="s">
        <v>113</v>
      </c>
      <c r="M162" s="75"/>
      <c r="N162" s="75"/>
      <c r="O162" s="75"/>
    </row>
    <row r="163" spans="1:15">
      <c r="A163" s="428">
        <v>46090</v>
      </c>
      <c r="B163" s="429" t="s">
        <v>1028</v>
      </c>
      <c r="C163" s="242" t="s">
        <v>402</v>
      </c>
      <c r="D163" s="429" t="s">
        <v>259</v>
      </c>
      <c r="E163" s="429">
        <v>9000</v>
      </c>
      <c r="F163" s="454">
        <f t="shared" si="2"/>
        <v>16.809547823163559</v>
      </c>
      <c r="G163" s="239">
        <v>535.41</v>
      </c>
      <c r="H163" s="429" t="s">
        <v>123</v>
      </c>
      <c r="I163" s="429" t="s">
        <v>553</v>
      </c>
      <c r="J163" s="170" t="s">
        <v>96</v>
      </c>
      <c r="K163" s="170" t="s">
        <v>345</v>
      </c>
      <c r="L163" s="170" t="s">
        <v>113</v>
      </c>
      <c r="M163" s="75"/>
      <c r="N163" s="75"/>
      <c r="O163" s="75"/>
    </row>
    <row r="164" spans="1:15">
      <c r="A164" s="457">
        <v>46090</v>
      </c>
      <c r="B164" s="242" t="s">
        <v>1025</v>
      </c>
      <c r="C164" s="170" t="s">
        <v>337</v>
      </c>
      <c r="D164" s="242" t="s">
        <v>259</v>
      </c>
      <c r="E164" s="242">
        <v>1000</v>
      </c>
      <c r="F164" s="454">
        <f t="shared" si="2"/>
        <v>1.867727535907062</v>
      </c>
      <c r="G164" s="239">
        <v>535.41</v>
      </c>
      <c r="H164" s="242" t="s">
        <v>131</v>
      </c>
      <c r="I164" s="242" t="s">
        <v>653</v>
      </c>
      <c r="J164" s="170" t="s">
        <v>96</v>
      </c>
      <c r="K164" s="170" t="s">
        <v>345</v>
      </c>
      <c r="L164" s="170" t="s">
        <v>113</v>
      </c>
      <c r="M164" s="75"/>
      <c r="N164" s="75"/>
      <c r="O164" s="75"/>
    </row>
    <row r="165" spans="1:15">
      <c r="A165" s="457">
        <v>46090</v>
      </c>
      <c r="B165" s="242" t="s">
        <v>1025</v>
      </c>
      <c r="C165" s="170" t="s">
        <v>337</v>
      </c>
      <c r="D165" s="242" t="s">
        <v>259</v>
      </c>
      <c r="E165" s="242">
        <v>2000</v>
      </c>
      <c r="F165" s="454">
        <f t="shared" si="2"/>
        <v>3.735455071814124</v>
      </c>
      <c r="G165" s="239">
        <v>535.41</v>
      </c>
      <c r="H165" s="242" t="s">
        <v>131</v>
      </c>
      <c r="I165" s="242" t="s">
        <v>653</v>
      </c>
      <c r="J165" s="170" t="s">
        <v>96</v>
      </c>
      <c r="K165" s="170" t="s">
        <v>345</v>
      </c>
      <c r="L165" s="170" t="s">
        <v>113</v>
      </c>
      <c r="M165" s="75"/>
      <c r="N165" s="75"/>
      <c r="O165" s="75"/>
    </row>
    <row r="166" spans="1:15">
      <c r="A166" s="453">
        <v>46090</v>
      </c>
      <c r="B166" s="449" t="s">
        <v>690</v>
      </c>
      <c r="C166" s="449" t="s">
        <v>104</v>
      </c>
      <c r="D166" s="242" t="s">
        <v>97</v>
      </c>
      <c r="E166" s="460">
        <v>127070</v>
      </c>
      <c r="F166" s="454">
        <f t="shared" si="2"/>
        <v>237.33213798771035</v>
      </c>
      <c r="G166" s="239">
        <v>535.41</v>
      </c>
      <c r="H166" s="242" t="s">
        <v>125</v>
      </c>
      <c r="I166" s="242" t="s">
        <v>691</v>
      </c>
      <c r="J166" s="170" t="s">
        <v>96</v>
      </c>
      <c r="K166" s="170" t="s">
        <v>345</v>
      </c>
      <c r="L166" s="170" t="s">
        <v>113</v>
      </c>
      <c r="M166" s="75"/>
      <c r="N166" s="75"/>
      <c r="O166" s="75"/>
    </row>
    <row r="167" spans="1:15">
      <c r="A167" s="453">
        <v>46090</v>
      </c>
      <c r="B167" s="449" t="s">
        <v>692</v>
      </c>
      <c r="C167" s="449" t="s">
        <v>104</v>
      </c>
      <c r="D167" s="170" t="s">
        <v>97</v>
      </c>
      <c r="E167" s="460">
        <v>127070</v>
      </c>
      <c r="F167" s="454">
        <f t="shared" si="2"/>
        <v>237.33213798771035</v>
      </c>
      <c r="G167" s="239">
        <v>535.41</v>
      </c>
      <c r="H167" s="242" t="s">
        <v>126</v>
      </c>
      <c r="I167" s="242" t="s">
        <v>693</v>
      </c>
      <c r="J167" s="170" t="s">
        <v>96</v>
      </c>
      <c r="K167" s="170" t="s">
        <v>345</v>
      </c>
      <c r="L167" s="170" t="s">
        <v>113</v>
      </c>
      <c r="M167" s="75"/>
      <c r="N167" s="75"/>
      <c r="O167" s="75"/>
    </row>
    <row r="168" spans="1:15">
      <c r="A168" s="468">
        <v>46090</v>
      </c>
      <c r="B168" s="449" t="s">
        <v>695</v>
      </c>
      <c r="C168" s="456" t="s">
        <v>104</v>
      </c>
      <c r="D168" s="456" t="s">
        <v>97</v>
      </c>
      <c r="E168" s="460">
        <v>127070</v>
      </c>
      <c r="F168" s="454">
        <f t="shared" si="2"/>
        <v>237.33213798771035</v>
      </c>
      <c r="G168" s="239">
        <v>535.41</v>
      </c>
      <c r="H168" s="456" t="s">
        <v>134</v>
      </c>
      <c r="I168" s="242" t="s">
        <v>729</v>
      </c>
      <c r="J168" s="170" t="s">
        <v>96</v>
      </c>
      <c r="K168" s="170" t="s">
        <v>345</v>
      </c>
      <c r="L168" s="170" t="s">
        <v>113</v>
      </c>
      <c r="M168" s="75"/>
      <c r="N168" s="75"/>
      <c r="O168" s="75"/>
    </row>
    <row r="169" spans="1:15">
      <c r="A169" s="453">
        <v>46090</v>
      </c>
      <c r="B169" s="462" t="s">
        <v>745</v>
      </c>
      <c r="C169" s="462" t="s">
        <v>104</v>
      </c>
      <c r="D169" s="469" t="s">
        <v>100</v>
      </c>
      <c r="E169" s="460">
        <v>132280</v>
      </c>
      <c r="F169" s="454">
        <f t="shared" si="2"/>
        <v>247.06299844978616</v>
      </c>
      <c r="G169" s="239">
        <v>535.41</v>
      </c>
      <c r="H169" s="242" t="s">
        <v>129</v>
      </c>
      <c r="I169" s="242" t="s">
        <v>787</v>
      </c>
      <c r="J169" s="170" t="s">
        <v>96</v>
      </c>
      <c r="K169" s="170" t="s">
        <v>345</v>
      </c>
      <c r="L169" s="170" t="s">
        <v>113</v>
      </c>
      <c r="M169" s="75"/>
      <c r="N169" s="75"/>
      <c r="O169" s="75"/>
    </row>
    <row r="170" spans="1:15">
      <c r="A170" s="453">
        <v>46090</v>
      </c>
      <c r="B170" s="242" t="s">
        <v>801</v>
      </c>
      <c r="C170" s="242" t="s">
        <v>120</v>
      </c>
      <c r="D170" s="242" t="s">
        <v>98</v>
      </c>
      <c r="E170" s="460">
        <v>62500</v>
      </c>
      <c r="F170" s="454">
        <f t="shared" si="2"/>
        <v>116.73297099419138</v>
      </c>
      <c r="G170" s="239">
        <v>535.41</v>
      </c>
      <c r="H170" s="242" t="s">
        <v>124</v>
      </c>
      <c r="I170" s="170" t="s">
        <v>839</v>
      </c>
      <c r="J170" s="170" t="s">
        <v>96</v>
      </c>
      <c r="K170" s="170" t="s">
        <v>345</v>
      </c>
      <c r="L170" s="170" t="s">
        <v>113</v>
      </c>
      <c r="M170" s="75"/>
      <c r="N170" s="75"/>
      <c r="O170" s="75"/>
    </row>
    <row r="171" spans="1:15">
      <c r="A171" s="450">
        <v>46090</v>
      </c>
      <c r="B171" s="300" t="s">
        <v>916</v>
      </c>
      <c r="C171" s="170" t="s">
        <v>254</v>
      </c>
      <c r="D171" s="242"/>
      <c r="E171" s="245"/>
      <c r="F171" s="454">
        <f t="shared" si="2"/>
        <v>0</v>
      </c>
      <c r="G171" s="239">
        <v>535.41</v>
      </c>
      <c r="H171" s="242" t="s">
        <v>107</v>
      </c>
      <c r="I171" s="242" t="s">
        <v>989</v>
      </c>
      <c r="J171" s="170" t="s">
        <v>96</v>
      </c>
      <c r="K171" s="170" t="s">
        <v>345</v>
      </c>
      <c r="L171" s="170" t="s">
        <v>113</v>
      </c>
      <c r="M171" s="479">
        <f>'Bank journal  '!F7</f>
        <v>32124589</v>
      </c>
      <c r="N171" s="479">
        <v>60000</v>
      </c>
      <c r="O171" s="75"/>
    </row>
    <row r="172" spans="1:15">
      <c r="A172" s="450">
        <v>46090</v>
      </c>
      <c r="B172" s="243" t="s">
        <v>917</v>
      </c>
      <c r="C172" s="170" t="s">
        <v>104</v>
      </c>
      <c r="D172" s="170" t="s">
        <v>97</v>
      </c>
      <c r="E172" s="245">
        <v>228800</v>
      </c>
      <c r="F172" s="454">
        <f t="shared" si="2"/>
        <v>427.33606021553578</v>
      </c>
      <c r="G172" s="239">
        <v>535.41</v>
      </c>
      <c r="H172" s="242" t="s">
        <v>107</v>
      </c>
      <c r="I172" s="242" t="s">
        <v>952</v>
      </c>
      <c r="J172" s="170" t="s">
        <v>96</v>
      </c>
      <c r="K172" s="170" t="s">
        <v>345</v>
      </c>
      <c r="L172" s="170" t="s">
        <v>113</v>
      </c>
      <c r="M172" s="75"/>
      <c r="N172" s="75"/>
      <c r="O172" s="75"/>
    </row>
    <row r="173" spans="1:15">
      <c r="A173" s="450">
        <v>46090</v>
      </c>
      <c r="B173" s="243" t="s">
        <v>1000</v>
      </c>
      <c r="C173" s="170" t="s">
        <v>104</v>
      </c>
      <c r="D173" s="170" t="s">
        <v>97</v>
      </c>
      <c r="E173" s="245">
        <v>228800</v>
      </c>
      <c r="F173" s="454">
        <f t="shared" si="2"/>
        <v>427.33606021553578</v>
      </c>
      <c r="G173" s="239">
        <v>535.41</v>
      </c>
      <c r="H173" s="242" t="s">
        <v>107</v>
      </c>
      <c r="I173" s="242" t="s">
        <v>953</v>
      </c>
      <c r="J173" s="170" t="s">
        <v>96</v>
      </c>
      <c r="K173" s="170" t="s">
        <v>345</v>
      </c>
      <c r="L173" s="170" t="s">
        <v>113</v>
      </c>
      <c r="M173" s="75"/>
      <c r="N173" s="75"/>
      <c r="O173" s="75"/>
    </row>
    <row r="174" spans="1:15">
      <c r="A174" s="450">
        <v>46090</v>
      </c>
      <c r="B174" s="300" t="s">
        <v>918</v>
      </c>
      <c r="C174" s="170" t="s">
        <v>104</v>
      </c>
      <c r="D174" s="452" t="s">
        <v>97</v>
      </c>
      <c r="E174" s="245">
        <v>581764</v>
      </c>
      <c r="F174" s="454">
        <f t="shared" si="2"/>
        <v>1086.576642199436</v>
      </c>
      <c r="G174" s="239">
        <v>535.41</v>
      </c>
      <c r="H174" s="242" t="s">
        <v>107</v>
      </c>
      <c r="I174" s="242" t="s">
        <v>954</v>
      </c>
      <c r="J174" s="170" t="s">
        <v>96</v>
      </c>
      <c r="K174" s="170" t="s">
        <v>345</v>
      </c>
      <c r="L174" s="170" t="s">
        <v>113</v>
      </c>
      <c r="M174" s="75"/>
      <c r="N174" s="75"/>
      <c r="O174" s="75"/>
    </row>
    <row r="175" spans="1:15">
      <c r="A175" s="450">
        <v>46090</v>
      </c>
      <c r="B175" s="243" t="s">
        <v>919</v>
      </c>
      <c r="C175" s="170" t="s">
        <v>104</v>
      </c>
      <c r="D175" s="248" t="s">
        <v>97</v>
      </c>
      <c r="E175" s="245">
        <v>328800</v>
      </c>
      <c r="F175" s="454">
        <f t="shared" si="2"/>
        <v>614.10881380624198</v>
      </c>
      <c r="G175" s="239">
        <v>535.41</v>
      </c>
      <c r="H175" s="242" t="s">
        <v>107</v>
      </c>
      <c r="I175" s="242" t="s">
        <v>955</v>
      </c>
      <c r="J175" s="170" t="s">
        <v>96</v>
      </c>
      <c r="K175" s="170" t="s">
        <v>345</v>
      </c>
      <c r="L175" s="170" t="s">
        <v>113</v>
      </c>
      <c r="M175" s="75"/>
      <c r="N175" s="75"/>
      <c r="O175" s="75"/>
    </row>
    <row r="176" spans="1:15">
      <c r="A176" s="450">
        <v>46090</v>
      </c>
      <c r="B176" s="243" t="s">
        <v>920</v>
      </c>
      <c r="C176" s="170" t="s">
        <v>104</v>
      </c>
      <c r="D176" s="248" t="s">
        <v>100</v>
      </c>
      <c r="E176" s="245">
        <v>268210</v>
      </c>
      <c r="F176" s="454">
        <f t="shared" si="2"/>
        <v>500.94320240563309</v>
      </c>
      <c r="G176" s="239">
        <v>535.41</v>
      </c>
      <c r="H176" s="242" t="s">
        <v>107</v>
      </c>
      <c r="I176" s="242" t="s">
        <v>956</v>
      </c>
      <c r="J176" s="170" t="s">
        <v>96</v>
      </c>
      <c r="K176" s="170" t="s">
        <v>345</v>
      </c>
      <c r="L176" s="170" t="s">
        <v>113</v>
      </c>
      <c r="M176" s="75"/>
      <c r="N176" s="75"/>
      <c r="O176" s="75"/>
    </row>
    <row r="177" spans="1:15">
      <c r="A177" s="450">
        <v>46090</v>
      </c>
      <c r="B177" s="300" t="s">
        <v>921</v>
      </c>
      <c r="C177" s="170" t="s">
        <v>104</v>
      </c>
      <c r="D177" s="452" t="s">
        <v>97</v>
      </c>
      <c r="E177" s="245">
        <v>581764</v>
      </c>
      <c r="F177" s="454">
        <f t="shared" si="2"/>
        <v>1086.576642199436</v>
      </c>
      <c r="G177" s="239">
        <v>535.41</v>
      </c>
      <c r="H177" s="242" t="s">
        <v>107</v>
      </c>
      <c r="I177" s="242" t="s">
        <v>957</v>
      </c>
      <c r="J177" s="170" t="s">
        <v>96</v>
      </c>
      <c r="K177" s="170" t="s">
        <v>345</v>
      </c>
      <c r="L177" s="170" t="s">
        <v>113</v>
      </c>
      <c r="M177" s="75"/>
      <c r="N177" s="75"/>
      <c r="O177" s="75"/>
    </row>
    <row r="178" spans="1:15">
      <c r="A178" s="450">
        <v>46090</v>
      </c>
      <c r="B178" s="243" t="s">
        <v>922</v>
      </c>
      <c r="C178" s="170" t="s">
        <v>104</v>
      </c>
      <c r="D178" s="248" t="s">
        <v>97</v>
      </c>
      <c r="E178" s="245">
        <v>328800</v>
      </c>
      <c r="F178" s="454">
        <f t="shared" si="2"/>
        <v>614.10881380624198</v>
      </c>
      <c r="G178" s="239">
        <v>535.41</v>
      </c>
      <c r="H178" s="242" t="s">
        <v>107</v>
      </c>
      <c r="I178" s="242" t="s">
        <v>958</v>
      </c>
      <c r="J178" s="170" t="s">
        <v>96</v>
      </c>
      <c r="K178" s="170" t="s">
        <v>345</v>
      </c>
      <c r="L178" s="170" t="s">
        <v>113</v>
      </c>
      <c r="M178" s="75"/>
      <c r="N178" s="75"/>
      <c r="O178" s="75"/>
    </row>
    <row r="179" spans="1:15">
      <c r="A179" s="450">
        <v>46090</v>
      </c>
      <c r="B179" s="243" t="s">
        <v>923</v>
      </c>
      <c r="C179" s="170" t="s">
        <v>104</v>
      </c>
      <c r="D179" s="248" t="s">
        <v>100</v>
      </c>
      <c r="E179" s="245">
        <v>268210</v>
      </c>
      <c r="F179" s="454">
        <f t="shared" si="2"/>
        <v>500.94320240563309</v>
      </c>
      <c r="G179" s="239">
        <v>535.41</v>
      </c>
      <c r="H179" s="242" t="s">
        <v>107</v>
      </c>
      <c r="I179" s="242" t="s">
        <v>959</v>
      </c>
      <c r="J179" s="170" t="s">
        <v>96</v>
      </c>
      <c r="K179" s="170" t="s">
        <v>345</v>
      </c>
      <c r="L179" s="170" t="s">
        <v>113</v>
      </c>
      <c r="M179" s="75"/>
      <c r="N179" s="75"/>
      <c r="O179" s="75"/>
    </row>
    <row r="180" spans="1:15">
      <c r="A180" s="450">
        <v>46090</v>
      </c>
      <c r="B180" s="300" t="s">
        <v>924</v>
      </c>
      <c r="C180" s="170" t="s">
        <v>104</v>
      </c>
      <c r="D180" s="242" t="s">
        <v>259</v>
      </c>
      <c r="E180" s="245">
        <v>255000</v>
      </c>
      <c r="F180" s="454">
        <f t="shared" si="2"/>
        <v>476.27052165630079</v>
      </c>
      <c r="G180" s="239">
        <v>535.41</v>
      </c>
      <c r="H180" s="242" t="s">
        <v>107</v>
      </c>
      <c r="I180" s="242" t="s">
        <v>960</v>
      </c>
      <c r="J180" s="170" t="s">
        <v>96</v>
      </c>
      <c r="K180" s="170" t="s">
        <v>345</v>
      </c>
      <c r="L180" s="170" t="s">
        <v>113</v>
      </c>
      <c r="M180" s="75"/>
      <c r="N180" s="75"/>
      <c r="O180" s="75"/>
    </row>
    <row r="181" spans="1:15">
      <c r="A181" s="450">
        <v>46090</v>
      </c>
      <c r="B181" s="300" t="s">
        <v>925</v>
      </c>
      <c r="C181" s="170" t="s">
        <v>104</v>
      </c>
      <c r="D181" s="242" t="s">
        <v>259</v>
      </c>
      <c r="E181" s="245">
        <v>255000</v>
      </c>
      <c r="F181" s="454">
        <f t="shared" si="2"/>
        <v>476.27052165630079</v>
      </c>
      <c r="G181" s="239">
        <v>535.41</v>
      </c>
      <c r="H181" s="242" t="s">
        <v>107</v>
      </c>
      <c r="I181" s="242" t="s">
        <v>961</v>
      </c>
      <c r="J181" s="170" t="s">
        <v>96</v>
      </c>
      <c r="K181" s="170" t="s">
        <v>345</v>
      </c>
      <c r="L181" s="170" t="s">
        <v>113</v>
      </c>
      <c r="M181" s="75"/>
      <c r="N181" s="75"/>
      <c r="O181" s="75"/>
    </row>
    <row r="182" spans="1:15">
      <c r="A182" s="450">
        <v>46090</v>
      </c>
      <c r="B182" s="300" t="s">
        <v>926</v>
      </c>
      <c r="C182" s="170" t="s">
        <v>104</v>
      </c>
      <c r="D182" s="242" t="s">
        <v>259</v>
      </c>
      <c r="E182" s="245">
        <v>255000</v>
      </c>
      <c r="F182" s="454">
        <f t="shared" si="2"/>
        <v>476.27052165630079</v>
      </c>
      <c r="G182" s="239">
        <v>535.41</v>
      </c>
      <c r="H182" s="242" t="s">
        <v>107</v>
      </c>
      <c r="I182" s="242" t="s">
        <v>962</v>
      </c>
      <c r="J182" s="170" t="s">
        <v>96</v>
      </c>
      <c r="K182" s="170" t="s">
        <v>345</v>
      </c>
      <c r="L182" s="170" t="s">
        <v>113</v>
      </c>
      <c r="M182" s="75"/>
      <c r="N182" s="75"/>
      <c r="O182" s="75"/>
    </row>
    <row r="183" spans="1:15">
      <c r="A183" s="450">
        <v>46090</v>
      </c>
      <c r="B183" s="300" t="s">
        <v>927</v>
      </c>
      <c r="C183" s="170" t="s">
        <v>104</v>
      </c>
      <c r="D183" s="242" t="s">
        <v>259</v>
      </c>
      <c r="E183" s="245">
        <v>255000</v>
      </c>
      <c r="F183" s="454">
        <f t="shared" si="2"/>
        <v>476.27052165630079</v>
      </c>
      <c r="G183" s="239">
        <v>535.41</v>
      </c>
      <c r="H183" s="242" t="s">
        <v>107</v>
      </c>
      <c r="I183" s="242" t="s">
        <v>963</v>
      </c>
      <c r="J183" s="170" t="s">
        <v>96</v>
      </c>
      <c r="K183" s="170" t="s">
        <v>345</v>
      </c>
      <c r="L183" s="170" t="s">
        <v>113</v>
      </c>
      <c r="M183" s="75"/>
      <c r="N183" s="75"/>
      <c r="O183" s="75"/>
    </row>
    <row r="184" spans="1:15">
      <c r="A184" s="450">
        <v>46090</v>
      </c>
      <c r="B184" s="300" t="s">
        <v>928</v>
      </c>
      <c r="C184" s="170" t="s">
        <v>104</v>
      </c>
      <c r="D184" s="242" t="s">
        <v>259</v>
      </c>
      <c r="E184" s="245">
        <v>400000</v>
      </c>
      <c r="F184" s="454">
        <f t="shared" si="2"/>
        <v>747.09101436282481</v>
      </c>
      <c r="G184" s="239">
        <v>535.41</v>
      </c>
      <c r="H184" s="242" t="s">
        <v>107</v>
      </c>
      <c r="I184" s="242" t="s">
        <v>964</v>
      </c>
      <c r="J184" s="170" t="s">
        <v>96</v>
      </c>
      <c r="K184" s="170" t="s">
        <v>345</v>
      </c>
      <c r="L184" s="170" t="s">
        <v>113</v>
      </c>
      <c r="M184" s="75"/>
      <c r="N184" s="75"/>
      <c r="O184" s="75"/>
    </row>
    <row r="185" spans="1:15">
      <c r="A185" s="450">
        <v>46090</v>
      </c>
      <c r="B185" s="300" t="s">
        <v>929</v>
      </c>
      <c r="C185" s="170" t="s">
        <v>104</v>
      </c>
      <c r="D185" s="242" t="s">
        <v>259</v>
      </c>
      <c r="E185" s="245">
        <v>157143</v>
      </c>
      <c r="F185" s="454">
        <f t="shared" si="2"/>
        <v>293.50030817504341</v>
      </c>
      <c r="G185" s="239">
        <v>535.41</v>
      </c>
      <c r="H185" s="242" t="s">
        <v>107</v>
      </c>
      <c r="I185" s="242" t="s">
        <v>965</v>
      </c>
      <c r="J185" s="170" t="s">
        <v>96</v>
      </c>
      <c r="K185" s="170" t="s">
        <v>345</v>
      </c>
      <c r="L185" s="170" t="s">
        <v>113</v>
      </c>
      <c r="M185" s="75"/>
      <c r="N185" s="75"/>
      <c r="O185" s="75"/>
    </row>
    <row r="186" spans="1:15">
      <c r="A186" s="457">
        <v>46091</v>
      </c>
      <c r="B186" s="242" t="s">
        <v>186</v>
      </c>
      <c r="C186" s="170" t="s">
        <v>337</v>
      </c>
      <c r="D186" s="458" t="s">
        <v>99</v>
      </c>
      <c r="E186" s="242">
        <v>1000</v>
      </c>
      <c r="F186" s="454">
        <f t="shared" si="2"/>
        <v>1.8677282335885521</v>
      </c>
      <c r="G186" s="239">
        <v>535.40980000000002</v>
      </c>
      <c r="H186" s="459" t="s">
        <v>111</v>
      </c>
      <c r="I186" s="170" t="s">
        <v>380</v>
      </c>
      <c r="J186" s="170" t="s">
        <v>96</v>
      </c>
      <c r="K186" s="170" t="s">
        <v>345</v>
      </c>
      <c r="L186" s="170" t="s">
        <v>113</v>
      </c>
      <c r="M186" s="361"/>
      <c r="N186" s="361"/>
      <c r="O186" s="271"/>
    </row>
    <row r="187" spans="1:15">
      <c r="A187" s="457">
        <v>46091</v>
      </c>
      <c r="B187" s="456" t="s">
        <v>361</v>
      </c>
      <c r="C187" s="170" t="s">
        <v>110</v>
      </c>
      <c r="D187" s="232" t="s">
        <v>99</v>
      </c>
      <c r="E187" s="242">
        <v>10000</v>
      </c>
      <c r="F187" s="454">
        <f t="shared" si="2"/>
        <v>18.771635173931283</v>
      </c>
      <c r="G187" s="239">
        <v>532.71864210781655</v>
      </c>
      <c r="H187" s="459" t="s">
        <v>111</v>
      </c>
      <c r="I187" s="170" t="s">
        <v>388</v>
      </c>
      <c r="J187" s="170" t="s">
        <v>96</v>
      </c>
      <c r="K187" s="170" t="s">
        <v>345</v>
      </c>
      <c r="L187" s="170" t="s">
        <v>113</v>
      </c>
      <c r="M187" s="361"/>
      <c r="N187" s="361"/>
      <c r="O187" s="271"/>
    </row>
    <row r="188" spans="1:15">
      <c r="A188" s="457">
        <v>46091</v>
      </c>
      <c r="B188" s="242" t="s">
        <v>192</v>
      </c>
      <c r="C188" s="170" t="s">
        <v>337</v>
      </c>
      <c r="D188" s="458" t="s">
        <v>99</v>
      </c>
      <c r="E188" s="242">
        <v>1000</v>
      </c>
      <c r="F188" s="454">
        <f t="shared" si="2"/>
        <v>1.8771635173931283</v>
      </c>
      <c r="G188" s="239">
        <v>532.71864210781655</v>
      </c>
      <c r="H188" s="459" t="s">
        <v>111</v>
      </c>
      <c r="I188" s="170" t="s">
        <v>380</v>
      </c>
      <c r="J188" s="170" t="s">
        <v>96</v>
      </c>
      <c r="K188" s="170" t="s">
        <v>345</v>
      </c>
      <c r="L188" s="170" t="s">
        <v>113</v>
      </c>
      <c r="M188" s="361"/>
      <c r="N188" s="361"/>
      <c r="O188" s="271"/>
    </row>
    <row r="189" spans="1:15">
      <c r="A189" s="461">
        <v>46091</v>
      </c>
      <c r="B189" s="462" t="s">
        <v>396</v>
      </c>
      <c r="C189" s="462" t="s">
        <v>110</v>
      </c>
      <c r="D189" s="463" t="s">
        <v>97</v>
      </c>
      <c r="E189" s="464">
        <v>7500</v>
      </c>
      <c r="F189" s="454">
        <f t="shared" si="2"/>
        <v>14.007956519302965</v>
      </c>
      <c r="G189" s="239">
        <v>535.41</v>
      </c>
      <c r="H189" s="165" t="s">
        <v>128</v>
      </c>
      <c r="I189" s="464" t="s">
        <v>427</v>
      </c>
      <c r="J189" s="170" t="s">
        <v>96</v>
      </c>
      <c r="K189" s="170" t="s">
        <v>345</v>
      </c>
      <c r="L189" s="170" t="s">
        <v>113</v>
      </c>
      <c r="M189" s="364"/>
      <c r="N189" s="364"/>
      <c r="O189" s="75"/>
    </row>
    <row r="190" spans="1:15">
      <c r="A190" s="428">
        <v>46091</v>
      </c>
      <c r="B190" s="429" t="s">
        <v>1065</v>
      </c>
      <c r="C190" s="429" t="s">
        <v>542</v>
      </c>
      <c r="D190" s="429" t="s">
        <v>259</v>
      </c>
      <c r="E190" s="429">
        <v>70000</v>
      </c>
      <c r="F190" s="454">
        <f t="shared" si="2"/>
        <v>130.74092751349434</v>
      </c>
      <c r="G190" s="239">
        <v>535.41</v>
      </c>
      <c r="H190" s="429" t="s">
        <v>123</v>
      </c>
      <c r="I190" s="429" t="s">
        <v>554</v>
      </c>
      <c r="J190" s="170" t="s">
        <v>96</v>
      </c>
      <c r="K190" s="170" t="s">
        <v>345</v>
      </c>
      <c r="L190" s="170" t="s">
        <v>113</v>
      </c>
      <c r="M190" s="75"/>
      <c r="N190" s="75"/>
      <c r="O190" s="75"/>
    </row>
    <row r="191" spans="1:15">
      <c r="A191" s="428">
        <v>46091</v>
      </c>
      <c r="B191" s="429" t="s">
        <v>1033</v>
      </c>
      <c r="C191" s="170" t="s">
        <v>337</v>
      </c>
      <c r="D191" s="429" t="s">
        <v>259</v>
      </c>
      <c r="E191" s="429">
        <v>1500</v>
      </c>
      <c r="F191" s="454">
        <f t="shared" si="2"/>
        <v>2.8015913038605929</v>
      </c>
      <c r="G191" s="239">
        <v>535.41</v>
      </c>
      <c r="H191" s="429" t="s">
        <v>123</v>
      </c>
      <c r="I191" s="429" t="s">
        <v>550</v>
      </c>
      <c r="J191" s="170" t="s">
        <v>96</v>
      </c>
      <c r="K191" s="170" t="s">
        <v>345</v>
      </c>
      <c r="L191" s="170" t="s">
        <v>113</v>
      </c>
      <c r="M191" s="75"/>
      <c r="N191" s="75"/>
      <c r="O191" s="75"/>
    </row>
    <row r="192" spans="1:15">
      <c r="A192" s="428">
        <v>46091</v>
      </c>
      <c r="B192" s="429" t="s">
        <v>1033</v>
      </c>
      <c r="C192" s="170" t="s">
        <v>337</v>
      </c>
      <c r="D192" s="429" t="s">
        <v>259</v>
      </c>
      <c r="E192" s="429">
        <v>1000</v>
      </c>
      <c r="F192" s="454">
        <f t="shared" si="2"/>
        <v>1.867727535907062</v>
      </c>
      <c r="G192" s="239">
        <v>535.41</v>
      </c>
      <c r="H192" s="429" t="s">
        <v>123</v>
      </c>
      <c r="I192" s="429" t="s">
        <v>550</v>
      </c>
      <c r="J192" s="170" t="s">
        <v>96</v>
      </c>
      <c r="K192" s="170" t="s">
        <v>345</v>
      </c>
      <c r="L192" s="170" t="s">
        <v>113</v>
      </c>
      <c r="M192" s="75"/>
      <c r="N192" s="75"/>
      <c r="O192" s="75"/>
    </row>
    <row r="193" spans="1:15">
      <c r="A193" s="428">
        <v>46091</v>
      </c>
      <c r="B193" s="165" t="s">
        <v>543</v>
      </c>
      <c r="C193" s="165" t="s">
        <v>110</v>
      </c>
      <c r="D193" s="165" t="s">
        <v>544</v>
      </c>
      <c r="E193" s="429">
        <v>7500</v>
      </c>
      <c r="F193" s="454">
        <f t="shared" si="2"/>
        <v>14.007956519302965</v>
      </c>
      <c r="G193" s="239">
        <v>535.41</v>
      </c>
      <c r="H193" s="429" t="s">
        <v>123</v>
      </c>
      <c r="I193" s="429" t="s">
        <v>555</v>
      </c>
      <c r="J193" s="170" t="s">
        <v>96</v>
      </c>
      <c r="K193" s="170" t="s">
        <v>345</v>
      </c>
      <c r="L193" s="170" t="s">
        <v>113</v>
      </c>
      <c r="M193" s="75"/>
      <c r="N193" s="75"/>
      <c r="O193" s="75"/>
    </row>
    <row r="194" spans="1:15">
      <c r="A194" s="457">
        <v>46091</v>
      </c>
      <c r="B194" s="242" t="s">
        <v>1029</v>
      </c>
      <c r="C194" s="170" t="s">
        <v>337</v>
      </c>
      <c r="D194" s="242" t="s">
        <v>259</v>
      </c>
      <c r="E194" s="242">
        <v>1000</v>
      </c>
      <c r="F194" s="454">
        <f t="shared" ref="F194:F257" si="3">E194/G194</f>
        <v>1.867727535907062</v>
      </c>
      <c r="G194" s="239">
        <v>535.41</v>
      </c>
      <c r="H194" s="242" t="s">
        <v>122</v>
      </c>
      <c r="I194" s="242" t="s">
        <v>594</v>
      </c>
      <c r="J194" s="170" t="s">
        <v>96</v>
      </c>
      <c r="K194" s="170" t="s">
        <v>345</v>
      </c>
      <c r="L194" s="170" t="s">
        <v>113</v>
      </c>
      <c r="M194" s="75"/>
      <c r="N194" s="75"/>
      <c r="O194" s="75"/>
    </row>
    <row r="195" spans="1:15">
      <c r="A195" s="457">
        <v>46091</v>
      </c>
      <c r="B195" s="242" t="s">
        <v>1025</v>
      </c>
      <c r="C195" s="170" t="s">
        <v>337</v>
      </c>
      <c r="D195" s="242" t="s">
        <v>259</v>
      </c>
      <c r="E195" s="242">
        <v>1000</v>
      </c>
      <c r="F195" s="454">
        <f t="shared" si="3"/>
        <v>1.867727535907062</v>
      </c>
      <c r="G195" s="239">
        <v>535.41</v>
      </c>
      <c r="H195" s="242" t="s">
        <v>122</v>
      </c>
      <c r="I195" s="242" t="s">
        <v>594</v>
      </c>
      <c r="J195" s="170" t="s">
        <v>96</v>
      </c>
      <c r="K195" s="170" t="s">
        <v>345</v>
      </c>
      <c r="L195" s="170" t="s">
        <v>113</v>
      </c>
      <c r="M195" s="75"/>
      <c r="N195" s="75"/>
      <c r="O195" s="75"/>
    </row>
    <row r="196" spans="1:15">
      <c r="A196" s="457">
        <v>46091</v>
      </c>
      <c r="B196" s="242" t="s">
        <v>1025</v>
      </c>
      <c r="C196" s="170" t="s">
        <v>337</v>
      </c>
      <c r="D196" s="242" t="s">
        <v>259</v>
      </c>
      <c r="E196" s="242">
        <v>1000</v>
      </c>
      <c r="F196" s="454">
        <f t="shared" si="3"/>
        <v>1.867727535907062</v>
      </c>
      <c r="G196" s="239">
        <v>535.41</v>
      </c>
      <c r="H196" s="242" t="s">
        <v>122</v>
      </c>
      <c r="I196" s="242" t="s">
        <v>594</v>
      </c>
      <c r="J196" s="170" t="s">
        <v>96</v>
      </c>
      <c r="K196" s="170" t="s">
        <v>345</v>
      </c>
      <c r="L196" s="170" t="s">
        <v>113</v>
      </c>
      <c r="M196" s="75"/>
      <c r="N196" s="75"/>
      <c r="O196" s="75"/>
    </row>
    <row r="197" spans="1:15">
      <c r="A197" s="457">
        <v>46091</v>
      </c>
      <c r="B197" s="242" t="s">
        <v>1025</v>
      </c>
      <c r="C197" s="170" t="s">
        <v>337</v>
      </c>
      <c r="D197" s="242" t="s">
        <v>259</v>
      </c>
      <c r="E197" s="242">
        <v>1000</v>
      </c>
      <c r="F197" s="454">
        <f t="shared" si="3"/>
        <v>1.867727535907062</v>
      </c>
      <c r="G197" s="239">
        <v>535.41</v>
      </c>
      <c r="H197" s="242" t="s">
        <v>122</v>
      </c>
      <c r="I197" s="242" t="s">
        <v>594</v>
      </c>
      <c r="J197" s="170" t="s">
        <v>96</v>
      </c>
      <c r="K197" s="170" t="s">
        <v>345</v>
      </c>
      <c r="L197" s="170" t="s">
        <v>113</v>
      </c>
      <c r="M197" s="75"/>
      <c r="N197" s="75"/>
      <c r="O197" s="75"/>
    </row>
    <row r="198" spans="1:15">
      <c r="A198" s="457">
        <v>46091</v>
      </c>
      <c r="B198" s="165" t="s">
        <v>589</v>
      </c>
      <c r="C198" s="165" t="s">
        <v>110</v>
      </c>
      <c r="D198" s="242" t="s">
        <v>259</v>
      </c>
      <c r="E198" s="242">
        <v>7500</v>
      </c>
      <c r="F198" s="454">
        <f t="shared" si="3"/>
        <v>14.007956519302965</v>
      </c>
      <c r="G198" s="239">
        <v>535.41</v>
      </c>
      <c r="H198" s="242" t="s">
        <v>122</v>
      </c>
      <c r="I198" s="242" t="s">
        <v>605</v>
      </c>
      <c r="J198" s="170" t="s">
        <v>96</v>
      </c>
      <c r="K198" s="170" t="s">
        <v>345</v>
      </c>
      <c r="L198" s="170" t="s">
        <v>113</v>
      </c>
      <c r="M198" s="75"/>
      <c r="N198" s="75"/>
      <c r="O198" s="75"/>
    </row>
    <row r="199" spans="1:15">
      <c r="A199" s="453">
        <v>46091</v>
      </c>
      <c r="B199" s="170" t="s">
        <v>1045</v>
      </c>
      <c r="C199" s="242" t="s">
        <v>402</v>
      </c>
      <c r="D199" s="170" t="s">
        <v>259</v>
      </c>
      <c r="E199" s="170">
        <v>12000</v>
      </c>
      <c r="F199" s="454">
        <f t="shared" si="3"/>
        <v>22.412730430884743</v>
      </c>
      <c r="G199" s="239">
        <v>535.41</v>
      </c>
      <c r="H199" s="170" t="s">
        <v>122</v>
      </c>
      <c r="I199" s="242" t="s">
        <v>606</v>
      </c>
      <c r="J199" s="170" t="s">
        <v>96</v>
      </c>
      <c r="K199" s="170" t="s">
        <v>345</v>
      </c>
      <c r="L199" s="170" t="s">
        <v>113</v>
      </c>
      <c r="M199" s="75"/>
      <c r="N199" s="75"/>
      <c r="O199" s="75"/>
    </row>
    <row r="200" spans="1:15">
      <c r="A200" s="457">
        <v>46091</v>
      </c>
      <c r="B200" s="242" t="s">
        <v>545</v>
      </c>
      <c r="C200" s="242" t="s">
        <v>587</v>
      </c>
      <c r="D200" s="242" t="s">
        <v>259</v>
      </c>
      <c r="E200" s="242">
        <v>5500</v>
      </c>
      <c r="F200" s="454">
        <f t="shared" si="3"/>
        <v>10.272501447488841</v>
      </c>
      <c r="G200" s="239">
        <v>535.41</v>
      </c>
      <c r="H200" s="242" t="s">
        <v>122</v>
      </c>
      <c r="I200" s="242" t="s">
        <v>596</v>
      </c>
      <c r="J200" s="170" t="s">
        <v>96</v>
      </c>
      <c r="K200" s="170" t="s">
        <v>345</v>
      </c>
      <c r="L200" s="170" t="s">
        <v>113</v>
      </c>
      <c r="M200" s="75"/>
      <c r="N200" s="75"/>
      <c r="O200" s="75"/>
    </row>
    <row r="201" spans="1:15">
      <c r="A201" s="457">
        <v>46091</v>
      </c>
      <c r="B201" s="242" t="s">
        <v>1030</v>
      </c>
      <c r="C201" s="242" t="s">
        <v>542</v>
      </c>
      <c r="D201" s="242" t="s">
        <v>259</v>
      </c>
      <c r="E201" s="242">
        <v>70000</v>
      </c>
      <c r="F201" s="454">
        <f t="shared" si="3"/>
        <v>130.74092751349434</v>
      </c>
      <c r="G201" s="239">
        <v>535.41</v>
      </c>
      <c r="H201" s="242" t="s">
        <v>131</v>
      </c>
      <c r="I201" s="242" t="s">
        <v>665</v>
      </c>
      <c r="J201" s="170" t="s">
        <v>96</v>
      </c>
      <c r="K201" s="170" t="s">
        <v>345</v>
      </c>
      <c r="L201" s="170" t="s">
        <v>113</v>
      </c>
      <c r="M201" s="75"/>
      <c r="N201" s="75"/>
      <c r="O201" s="75"/>
    </row>
    <row r="202" spans="1:15">
      <c r="A202" s="457">
        <v>46091</v>
      </c>
      <c r="B202" s="242" t="s">
        <v>1025</v>
      </c>
      <c r="C202" s="170" t="s">
        <v>337</v>
      </c>
      <c r="D202" s="242" t="s">
        <v>259</v>
      </c>
      <c r="E202" s="242">
        <v>2000</v>
      </c>
      <c r="F202" s="454">
        <f t="shared" si="3"/>
        <v>3.735455071814124</v>
      </c>
      <c r="G202" s="239">
        <v>535.41</v>
      </c>
      <c r="H202" s="242" t="s">
        <v>131</v>
      </c>
      <c r="I202" s="242" t="s">
        <v>653</v>
      </c>
      <c r="J202" s="170" t="s">
        <v>96</v>
      </c>
      <c r="K202" s="170" t="s">
        <v>345</v>
      </c>
      <c r="L202" s="170" t="s">
        <v>113</v>
      </c>
      <c r="M202" s="75"/>
      <c r="N202" s="75"/>
      <c r="O202" s="75"/>
    </row>
    <row r="203" spans="1:15">
      <c r="A203" s="453">
        <v>46091</v>
      </c>
      <c r="B203" s="170" t="s">
        <v>1028</v>
      </c>
      <c r="C203" s="242" t="s">
        <v>402</v>
      </c>
      <c r="D203" s="170" t="s">
        <v>259</v>
      </c>
      <c r="E203" s="170">
        <v>9000</v>
      </c>
      <c r="F203" s="454">
        <f t="shared" si="3"/>
        <v>16.809547823163559</v>
      </c>
      <c r="G203" s="239">
        <v>535.41</v>
      </c>
      <c r="H203" s="170" t="s">
        <v>131</v>
      </c>
      <c r="I203" s="170" t="s">
        <v>666</v>
      </c>
      <c r="J203" s="170" t="s">
        <v>96</v>
      </c>
      <c r="K203" s="170" t="s">
        <v>345</v>
      </c>
      <c r="L203" s="170" t="s">
        <v>113</v>
      </c>
      <c r="M203" s="75"/>
      <c r="N203" s="75"/>
      <c r="O203" s="75"/>
    </row>
    <row r="204" spans="1:15">
      <c r="A204" s="457">
        <v>46091</v>
      </c>
      <c r="B204" s="242" t="s">
        <v>1027</v>
      </c>
      <c r="C204" s="170" t="s">
        <v>337</v>
      </c>
      <c r="D204" s="242" t="s">
        <v>259</v>
      </c>
      <c r="E204" s="242">
        <v>400</v>
      </c>
      <c r="F204" s="454">
        <f t="shared" si="3"/>
        <v>0.74709101436282477</v>
      </c>
      <c r="G204" s="239">
        <v>535.41</v>
      </c>
      <c r="H204" s="242" t="s">
        <v>131</v>
      </c>
      <c r="I204" s="242" t="s">
        <v>653</v>
      </c>
      <c r="J204" s="170" t="s">
        <v>96</v>
      </c>
      <c r="K204" s="170" t="s">
        <v>345</v>
      </c>
      <c r="L204" s="170" t="s">
        <v>113</v>
      </c>
      <c r="M204" s="75"/>
      <c r="N204" s="75"/>
      <c r="O204" s="75"/>
    </row>
    <row r="205" spans="1:15">
      <c r="A205" s="453">
        <v>46091</v>
      </c>
      <c r="B205" s="170" t="s">
        <v>648</v>
      </c>
      <c r="C205" s="170" t="s">
        <v>110</v>
      </c>
      <c r="D205" s="170" t="s">
        <v>259</v>
      </c>
      <c r="E205" s="170">
        <v>7500</v>
      </c>
      <c r="F205" s="454">
        <f t="shared" si="3"/>
        <v>14.007956519302965</v>
      </c>
      <c r="G205" s="239">
        <v>535.41</v>
      </c>
      <c r="H205" s="170" t="s">
        <v>131</v>
      </c>
      <c r="I205" s="170" t="s">
        <v>667</v>
      </c>
      <c r="J205" s="170" t="s">
        <v>96</v>
      </c>
      <c r="K205" s="170" t="s">
        <v>345</v>
      </c>
      <c r="L205" s="170" t="s">
        <v>113</v>
      </c>
      <c r="M205" s="75"/>
      <c r="N205" s="75"/>
      <c r="O205" s="75"/>
    </row>
    <row r="206" spans="1:15">
      <c r="A206" s="468">
        <v>46091</v>
      </c>
      <c r="B206" s="170" t="s">
        <v>696</v>
      </c>
      <c r="C206" s="170" t="s">
        <v>337</v>
      </c>
      <c r="D206" s="456" t="s">
        <v>97</v>
      </c>
      <c r="E206" s="367">
        <v>1000</v>
      </c>
      <c r="F206" s="454">
        <f t="shared" si="3"/>
        <v>1.867727535907062</v>
      </c>
      <c r="G206" s="239">
        <v>535.41</v>
      </c>
      <c r="H206" s="456" t="s">
        <v>134</v>
      </c>
      <c r="I206" s="170" t="s">
        <v>730</v>
      </c>
      <c r="J206" s="170" t="s">
        <v>96</v>
      </c>
      <c r="K206" s="170" t="s">
        <v>345</v>
      </c>
      <c r="L206" s="170" t="s">
        <v>113</v>
      </c>
      <c r="M206" s="75"/>
      <c r="N206" s="75"/>
      <c r="O206" s="75"/>
    </row>
    <row r="207" spans="1:15">
      <c r="A207" s="468">
        <v>46091</v>
      </c>
      <c r="B207" s="170" t="s">
        <v>697</v>
      </c>
      <c r="C207" s="170" t="s">
        <v>337</v>
      </c>
      <c r="D207" s="456" t="s">
        <v>97</v>
      </c>
      <c r="E207" s="367">
        <v>1000</v>
      </c>
      <c r="F207" s="454">
        <f t="shared" si="3"/>
        <v>1.867727535907062</v>
      </c>
      <c r="G207" s="239">
        <v>535.41</v>
      </c>
      <c r="H207" s="456" t="s">
        <v>134</v>
      </c>
      <c r="I207" s="170" t="s">
        <v>730</v>
      </c>
      <c r="J207" s="170" t="s">
        <v>96</v>
      </c>
      <c r="K207" s="170" t="s">
        <v>345</v>
      </c>
      <c r="L207" s="170" t="s">
        <v>113</v>
      </c>
      <c r="M207" s="75"/>
      <c r="N207" s="75"/>
      <c r="O207" s="75"/>
    </row>
    <row r="208" spans="1:15">
      <c r="A208" s="468">
        <v>46091</v>
      </c>
      <c r="B208" s="170" t="s">
        <v>698</v>
      </c>
      <c r="C208" s="170" t="s">
        <v>337</v>
      </c>
      <c r="D208" s="456" t="s">
        <v>97</v>
      </c>
      <c r="E208" s="367">
        <v>1000</v>
      </c>
      <c r="F208" s="454">
        <f t="shared" si="3"/>
        <v>1.867727535907062</v>
      </c>
      <c r="G208" s="239">
        <v>535.41</v>
      </c>
      <c r="H208" s="456" t="s">
        <v>134</v>
      </c>
      <c r="I208" s="170" t="s">
        <v>730</v>
      </c>
      <c r="J208" s="170" t="s">
        <v>96</v>
      </c>
      <c r="K208" s="170" t="s">
        <v>345</v>
      </c>
      <c r="L208" s="170" t="s">
        <v>113</v>
      </c>
      <c r="M208" s="75"/>
      <c r="N208" s="75"/>
      <c r="O208" s="75"/>
    </row>
    <row r="209" spans="1:15">
      <c r="A209" s="468">
        <v>46091</v>
      </c>
      <c r="B209" s="170" t="s">
        <v>697</v>
      </c>
      <c r="C209" s="170" t="s">
        <v>337</v>
      </c>
      <c r="D209" s="456" t="s">
        <v>97</v>
      </c>
      <c r="E209" s="367">
        <v>1000</v>
      </c>
      <c r="F209" s="454">
        <f t="shared" si="3"/>
        <v>1.867727535907062</v>
      </c>
      <c r="G209" s="239">
        <v>535.41</v>
      </c>
      <c r="H209" s="456" t="s">
        <v>134</v>
      </c>
      <c r="I209" s="170" t="s">
        <v>730</v>
      </c>
      <c r="J209" s="170" t="s">
        <v>96</v>
      </c>
      <c r="K209" s="170" t="s">
        <v>345</v>
      </c>
      <c r="L209" s="170" t="s">
        <v>113</v>
      </c>
      <c r="M209" s="75"/>
      <c r="N209" s="75"/>
      <c r="O209" s="75"/>
    </row>
    <row r="210" spans="1:15">
      <c r="A210" s="468">
        <v>46091</v>
      </c>
      <c r="B210" s="170" t="s">
        <v>699</v>
      </c>
      <c r="C210" s="456" t="s">
        <v>110</v>
      </c>
      <c r="D210" s="456" t="s">
        <v>97</v>
      </c>
      <c r="E210" s="367">
        <v>7500</v>
      </c>
      <c r="F210" s="454">
        <f t="shared" si="3"/>
        <v>14.007956519302965</v>
      </c>
      <c r="G210" s="239">
        <v>535.41</v>
      </c>
      <c r="H210" s="456" t="s">
        <v>134</v>
      </c>
      <c r="I210" s="170" t="s">
        <v>731</v>
      </c>
      <c r="J210" s="170" t="s">
        <v>96</v>
      </c>
      <c r="K210" s="170" t="s">
        <v>345</v>
      </c>
      <c r="L210" s="170" t="s">
        <v>113</v>
      </c>
      <c r="M210" s="75"/>
      <c r="N210" s="75"/>
      <c r="O210" s="75"/>
    </row>
    <row r="211" spans="1:15">
      <c r="A211" s="457">
        <v>46091</v>
      </c>
      <c r="B211" s="462" t="s">
        <v>746</v>
      </c>
      <c r="C211" s="462" t="s">
        <v>110</v>
      </c>
      <c r="D211" s="469" t="s">
        <v>100</v>
      </c>
      <c r="E211" s="299">
        <v>7500</v>
      </c>
      <c r="F211" s="454">
        <f t="shared" si="3"/>
        <v>14.007956519302965</v>
      </c>
      <c r="G211" s="239">
        <v>535.41</v>
      </c>
      <c r="H211" s="242" t="s">
        <v>129</v>
      </c>
      <c r="I211" s="242" t="s">
        <v>788</v>
      </c>
      <c r="J211" s="170" t="s">
        <v>96</v>
      </c>
      <c r="K211" s="170" t="s">
        <v>345</v>
      </c>
      <c r="L211" s="170" t="s">
        <v>113</v>
      </c>
      <c r="M211" s="75"/>
      <c r="N211" s="75"/>
      <c r="O211" s="75"/>
    </row>
    <row r="212" spans="1:15">
      <c r="A212" s="457">
        <v>46091</v>
      </c>
      <c r="B212" s="242" t="s">
        <v>802</v>
      </c>
      <c r="C212" s="242" t="s">
        <v>110</v>
      </c>
      <c r="D212" s="242" t="s">
        <v>97</v>
      </c>
      <c r="E212" s="242">
        <v>5000</v>
      </c>
      <c r="F212" s="454">
        <f t="shared" si="3"/>
        <v>9.3386376795353101</v>
      </c>
      <c r="G212" s="239">
        <v>535.41</v>
      </c>
      <c r="H212" s="242" t="s">
        <v>124</v>
      </c>
      <c r="I212" s="242" t="s">
        <v>840</v>
      </c>
      <c r="J212" s="170" t="s">
        <v>96</v>
      </c>
      <c r="K212" s="170" t="s">
        <v>345</v>
      </c>
      <c r="L212" s="170" t="s">
        <v>113</v>
      </c>
      <c r="M212" s="75"/>
      <c r="N212" s="75"/>
      <c r="O212" s="75"/>
    </row>
    <row r="213" spans="1:15">
      <c r="A213" s="450">
        <v>46091</v>
      </c>
      <c r="B213" s="243" t="s">
        <v>931</v>
      </c>
      <c r="C213" s="170" t="s">
        <v>104</v>
      </c>
      <c r="D213" s="242" t="s">
        <v>99</v>
      </c>
      <c r="E213" s="245">
        <v>700000</v>
      </c>
      <c r="F213" s="454">
        <f t="shared" si="3"/>
        <v>1307.4092751349433</v>
      </c>
      <c r="G213" s="239">
        <v>535.41</v>
      </c>
      <c r="H213" s="242" t="s">
        <v>107</v>
      </c>
      <c r="I213" s="242" t="s">
        <v>966</v>
      </c>
      <c r="J213" s="170" t="s">
        <v>96</v>
      </c>
      <c r="K213" s="170" t="s">
        <v>345</v>
      </c>
      <c r="L213" s="170" t="s">
        <v>113</v>
      </c>
      <c r="M213" s="75"/>
      <c r="N213" s="75"/>
      <c r="O213" s="75"/>
    </row>
    <row r="214" spans="1:15">
      <c r="A214" s="450">
        <v>46091</v>
      </c>
      <c r="B214" s="243" t="s">
        <v>932</v>
      </c>
      <c r="C214" s="170" t="s">
        <v>104</v>
      </c>
      <c r="D214" s="242" t="s">
        <v>99</v>
      </c>
      <c r="E214" s="245">
        <v>1311000</v>
      </c>
      <c r="F214" s="454">
        <f t="shared" si="3"/>
        <v>2448.5907995741582</v>
      </c>
      <c r="G214" s="239">
        <v>535.41</v>
      </c>
      <c r="H214" s="242" t="s">
        <v>107</v>
      </c>
      <c r="I214" s="242" t="s">
        <v>967</v>
      </c>
      <c r="J214" s="170" t="s">
        <v>96</v>
      </c>
      <c r="K214" s="170" t="s">
        <v>345</v>
      </c>
      <c r="L214" s="170" t="s">
        <v>113</v>
      </c>
      <c r="M214" s="75"/>
      <c r="N214" s="75"/>
      <c r="O214" s="75"/>
    </row>
    <row r="215" spans="1:15">
      <c r="A215" s="450">
        <v>46091</v>
      </c>
      <c r="B215" s="243" t="s">
        <v>1001</v>
      </c>
      <c r="C215" s="170" t="s">
        <v>104</v>
      </c>
      <c r="D215" s="242" t="s">
        <v>99</v>
      </c>
      <c r="E215" s="245">
        <v>1311000</v>
      </c>
      <c r="F215" s="454">
        <f t="shared" si="3"/>
        <v>2448.5907995741582</v>
      </c>
      <c r="G215" s="239">
        <v>535.41</v>
      </c>
      <c r="H215" s="242" t="s">
        <v>107</v>
      </c>
      <c r="I215" s="242" t="s">
        <v>968</v>
      </c>
      <c r="J215" s="170" t="s">
        <v>96</v>
      </c>
      <c r="K215" s="170" t="s">
        <v>345</v>
      </c>
      <c r="L215" s="170" t="s">
        <v>113</v>
      </c>
      <c r="M215" s="75"/>
      <c r="N215" s="75"/>
      <c r="O215" s="75"/>
    </row>
    <row r="216" spans="1:15">
      <c r="A216" s="450">
        <v>46091</v>
      </c>
      <c r="B216" s="243" t="s">
        <v>933</v>
      </c>
      <c r="C216" s="170" t="s">
        <v>104</v>
      </c>
      <c r="D216" s="170" t="s">
        <v>98</v>
      </c>
      <c r="E216" s="245">
        <v>258800</v>
      </c>
      <c r="F216" s="454">
        <f t="shared" si="3"/>
        <v>483.36788629274764</v>
      </c>
      <c r="G216" s="239">
        <v>535.41</v>
      </c>
      <c r="H216" s="242" t="s">
        <v>107</v>
      </c>
      <c r="I216" s="242" t="s">
        <v>969</v>
      </c>
      <c r="J216" s="170" t="s">
        <v>96</v>
      </c>
      <c r="K216" s="170" t="s">
        <v>345</v>
      </c>
      <c r="L216" s="170" t="s">
        <v>113</v>
      </c>
      <c r="M216" s="75"/>
      <c r="N216" s="75"/>
      <c r="O216" s="75"/>
    </row>
    <row r="217" spans="1:15">
      <c r="A217" s="450">
        <v>46091</v>
      </c>
      <c r="B217" s="243" t="s">
        <v>934</v>
      </c>
      <c r="C217" s="170" t="s">
        <v>104</v>
      </c>
      <c r="D217" s="170" t="s">
        <v>98</v>
      </c>
      <c r="E217" s="245">
        <v>274914</v>
      </c>
      <c r="F217" s="454">
        <f t="shared" si="3"/>
        <v>513.46444780635409</v>
      </c>
      <c r="G217" s="239">
        <v>535.41</v>
      </c>
      <c r="H217" s="242" t="s">
        <v>107</v>
      </c>
      <c r="I217" s="242" t="s">
        <v>970</v>
      </c>
      <c r="J217" s="170" t="s">
        <v>96</v>
      </c>
      <c r="K217" s="170" t="s">
        <v>345</v>
      </c>
      <c r="L217" s="170" t="s">
        <v>113</v>
      </c>
      <c r="M217" s="75"/>
      <c r="N217" s="75"/>
      <c r="O217" s="75"/>
    </row>
    <row r="218" spans="1:15">
      <c r="A218" s="450">
        <v>46091</v>
      </c>
      <c r="B218" s="243" t="s">
        <v>935</v>
      </c>
      <c r="C218" s="170" t="s">
        <v>104</v>
      </c>
      <c r="D218" s="170" t="s">
        <v>98</v>
      </c>
      <c r="E218" s="245">
        <v>187886</v>
      </c>
      <c r="F218" s="454">
        <f t="shared" si="3"/>
        <v>350.91985581143427</v>
      </c>
      <c r="G218" s="239">
        <v>535.41</v>
      </c>
      <c r="H218" s="242" t="s">
        <v>107</v>
      </c>
      <c r="I218" s="242" t="s">
        <v>971</v>
      </c>
      <c r="J218" s="170" t="s">
        <v>96</v>
      </c>
      <c r="K218" s="170" t="s">
        <v>345</v>
      </c>
      <c r="L218" s="170" t="s">
        <v>113</v>
      </c>
      <c r="M218" s="75"/>
      <c r="N218" s="75"/>
      <c r="O218" s="75"/>
    </row>
    <row r="219" spans="1:15">
      <c r="A219" s="450">
        <v>46091</v>
      </c>
      <c r="B219" s="243" t="s">
        <v>1014</v>
      </c>
      <c r="C219" s="170" t="s">
        <v>280</v>
      </c>
      <c r="D219" s="249" t="s">
        <v>97</v>
      </c>
      <c r="E219" s="298">
        <v>150000</v>
      </c>
      <c r="F219" s="454">
        <f t="shared" si="3"/>
        <v>280.1591303860593</v>
      </c>
      <c r="G219" s="239">
        <v>535.41</v>
      </c>
      <c r="H219" s="242" t="s">
        <v>107</v>
      </c>
      <c r="I219" s="242" t="s">
        <v>972</v>
      </c>
      <c r="J219" s="170" t="s">
        <v>96</v>
      </c>
      <c r="K219" s="170" t="s">
        <v>345</v>
      </c>
      <c r="L219" s="170" t="s">
        <v>113</v>
      </c>
      <c r="M219" s="75"/>
      <c r="N219" s="75"/>
      <c r="O219" s="75"/>
    </row>
    <row r="220" spans="1:15">
      <c r="A220" s="450">
        <v>46091</v>
      </c>
      <c r="B220" s="243" t="s">
        <v>1015</v>
      </c>
      <c r="C220" s="248" t="s">
        <v>280</v>
      </c>
      <c r="D220" s="249" t="s">
        <v>97</v>
      </c>
      <c r="E220" s="298">
        <v>150000</v>
      </c>
      <c r="F220" s="454">
        <f t="shared" si="3"/>
        <v>280.1591303860593</v>
      </c>
      <c r="G220" s="239">
        <v>535.41</v>
      </c>
      <c r="H220" s="242" t="s">
        <v>107</v>
      </c>
      <c r="I220" s="242" t="s">
        <v>973</v>
      </c>
      <c r="J220" s="170" t="s">
        <v>96</v>
      </c>
      <c r="K220" s="170" t="s">
        <v>345</v>
      </c>
      <c r="L220" s="170" t="s">
        <v>113</v>
      </c>
      <c r="M220" s="75"/>
      <c r="N220" s="75"/>
      <c r="O220" s="75"/>
    </row>
    <row r="221" spans="1:15">
      <c r="A221" s="450">
        <v>46091</v>
      </c>
      <c r="B221" s="243" t="s">
        <v>1016</v>
      </c>
      <c r="C221" s="248" t="s">
        <v>280</v>
      </c>
      <c r="D221" s="249" t="s">
        <v>97</v>
      </c>
      <c r="E221" s="298">
        <v>150000</v>
      </c>
      <c r="F221" s="454">
        <f t="shared" si="3"/>
        <v>280.1591303860593</v>
      </c>
      <c r="G221" s="239">
        <v>535.41</v>
      </c>
      <c r="H221" s="242" t="s">
        <v>107</v>
      </c>
      <c r="I221" s="242" t="s">
        <v>974</v>
      </c>
      <c r="J221" s="170" t="s">
        <v>96</v>
      </c>
      <c r="K221" s="170" t="s">
        <v>345</v>
      </c>
      <c r="L221" s="170" t="s">
        <v>113</v>
      </c>
      <c r="M221" s="75"/>
      <c r="N221" s="75"/>
      <c r="O221" s="75"/>
    </row>
    <row r="222" spans="1:15">
      <c r="A222" s="450">
        <v>46091</v>
      </c>
      <c r="B222" s="350" t="s">
        <v>1010</v>
      </c>
      <c r="C222" s="350" t="s">
        <v>130</v>
      </c>
      <c r="D222" s="350" t="s">
        <v>98</v>
      </c>
      <c r="E222" s="245">
        <v>260000</v>
      </c>
      <c r="F222" s="454">
        <f t="shared" si="3"/>
        <v>485.60915933583613</v>
      </c>
      <c r="G222" s="239">
        <v>535.41</v>
      </c>
      <c r="H222" s="242" t="s">
        <v>107</v>
      </c>
      <c r="I222" s="242" t="s">
        <v>975</v>
      </c>
      <c r="J222" s="170" t="s">
        <v>96</v>
      </c>
      <c r="K222" s="170" t="s">
        <v>345</v>
      </c>
      <c r="L222" s="170" t="s">
        <v>113</v>
      </c>
      <c r="M222" s="75"/>
      <c r="N222" s="75"/>
      <c r="O222" s="75"/>
    </row>
    <row r="223" spans="1:15">
      <c r="A223" s="450">
        <v>46091</v>
      </c>
      <c r="B223" s="350" t="s">
        <v>1011</v>
      </c>
      <c r="C223" s="350" t="s">
        <v>103</v>
      </c>
      <c r="D223" s="350" t="s">
        <v>98</v>
      </c>
      <c r="E223" s="245">
        <v>500000</v>
      </c>
      <c r="F223" s="454">
        <f t="shared" si="3"/>
        <v>933.86376795353101</v>
      </c>
      <c r="G223" s="239">
        <v>535.41</v>
      </c>
      <c r="H223" s="242" t="s">
        <v>107</v>
      </c>
      <c r="I223" s="242" t="s">
        <v>976</v>
      </c>
      <c r="J223" s="170" t="s">
        <v>96</v>
      </c>
      <c r="K223" s="170" t="s">
        <v>345</v>
      </c>
      <c r="L223" s="170" t="s">
        <v>113</v>
      </c>
      <c r="M223" s="75"/>
      <c r="N223" s="75"/>
      <c r="O223" s="75"/>
    </row>
    <row r="224" spans="1:15">
      <c r="A224" s="450">
        <v>46091</v>
      </c>
      <c r="B224" s="243" t="s">
        <v>936</v>
      </c>
      <c r="C224" s="170" t="s">
        <v>278</v>
      </c>
      <c r="D224" s="248" t="s">
        <v>98</v>
      </c>
      <c r="E224" s="245">
        <v>10665</v>
      </c>
      <c r="F224" s="454">
        <f t="shared" si="3"/>
        <v>19.919314170448818</v>
      </c>
      <c r="G224" s="239">
        <v>535.41</v>
      </c>
      <c r="H224" s="242" t="s">
        <v>107</v>
      </c>
      <c r="I224" s="242" t="s">
        <v>977</v>
      </c>
      <c r="J224" s="170" t="s">
        <v>96</v>
      </c>
      <c r="K224" s="170" t="s">
        <v>345</v>
      </c>
      <c r="L224" s="170" t="s">
        <v>113</v>
      </c>
      <c r="M224" s="75"/>
      <c r="N224" s="75"/>
      <c r="O224" s="75"/>
    </row>
    <row r="225" spans="1:15">
      <c r="A225" s="450">
        <v>46091</v>
      </c>
      <c r="B225" s="243" t="s">
        <v>937</v>
      </c>
      <c r="C225" s="170" t="s">
        <v>278</v>
      </c>
      <c r="D225" s="248" t="s">
        <v>98</v>
      </c>
      <c r="E225" s="245">
        <v>10665</v>
      </c>
      <c r="F225" s="454">
        <f t="shared" si="3"/>
        <v>19.919314170448818</v>
      </c>
      <c r="G225" s="239">
        <v>535.41</v>
      </c>
      <c r="H225" s="242" t="s">
        <v>107</v>
      </c>
      <c r="I225" s="242" t="s">
        <v>978</v>
      </c>
      <c r="J225" s="170" t="s">
        <v>96</v>
      </c>
      <c r="K225" s="170" t="s">
        <v>345</v>
      </c>
      <c r="L225" s="170" t="s">
        <v>113</v>
      </c>
      <c r="M225" s="75"/>
      <c r="N225" s="75"/>
      <c r="O225" s="75"/>
    </row>
    <row r="226" spans="1:15">
      <c r="A226" s="457">
        <v>46092</v>
      </c>
      <c r="B226" s="242" t="s">
        <v>362</v>
      </c>
      <c r="C226" s="170" t="s">
        <v>337</v>
      </c>
      <c r="D226" s="458" t="s">
        <v>99</v>
      </c>
      <c r="E226" s="242">
        <v>500</v>
      </c>
      <c r="F226" s="454">
        <f t="shared" si="3"/>
        <v>0.93858175869656413</v>
      </c>
      <c r="G226" s="239">
        <v>532.71864210781655</v>
      </c>
      <c r="H226" s="459" t="s">
        <v>111</v>
      </c>
      <c r="I226" s="170" t="s">
        <v>380</v>
      </c>
      <c r="J226" s="170" t="s">
        <v>96</v>
      </c>
      <c r="K226" s="170" t="s">
        <v>345</v>
      </c>
      <c r="L226" s="170" t="s">
        <v>113</v>
      </c>
      <c r="M226" s="361"/>
      <c r="N226" s="361"/>
      <c r="O226" s="271"/>
    </row>
    <row r="227" spans="1:15">
      <c r="A227" s="457">
        <v>46092</v>
      </c>
      <c r="B227" s="242" t="s">
        <v>363</v>
      </c>
      <c r="C227" s="170" t="s">
        <v>337</v>
      </c>
      <c r="D227" s="458" t="s">
        <v>99</v>
      </c>
      <c r="E227" s="242">
        <v>1000</v>
      </c>
      <c r="F227" s="454">
        <f t="shared" si="3"/>
        <v>1.8771635173931283</v>
      </c>
      <c r="G227" s="239">
        <v>532.71864210781655</v>
      </c>
      <c r="H227" s="459" t="s">
        <v>111</v>
      </c>
      <c r="I227" s="170" t="s">
        <v>380</v>
      </c>
      <c r="J227" s="170" t="s">
        <v>96</v>
      </c>
      <c r="K227" s="170" t="s">
        <v>345</v>
      </c>
      <c r="L227" s="170" t="s">
        <v>113</v>
      </c>
      <c r="M227" s="361"/>
      <c r="N227" s="361"/>
      <c r="O227" s="271"/>
    </row>
    <row r="228" spans="1:15">
      <c r="A228" s="457">
        <v>46092</v>
      </c>
      <c r="B228" s="242" t="s">
        <v>360</v>
      </c>
      <c r="C228" s="170" t="s">
        <v>337</v>
      </c>
      <c r="D228" s="458" t="s">
        <v>99</v>
      </c>
      <c r="E228" s="242">
        <v>1000</v>
      </c>
      <c r="F228" s="454">
        <f t="shared" si="3"/>
        <v>1.8771635173931283</v>
      </c>
      <c r="G228" s="239">
        <v>532.71864210781655</v>
      </c>
      <c r="H228" s="459" t="s">
        <v>111</v>
      </c>
      <c r="I228" s="170" t="s">
        <v>380</v>
      </c>
      <c r="J228" s="170" t="s">
        <v>96</v>
      </c>
      <c r="K228" s="170" t="s">
        <v>345</v>
      </c>
      <c r="L228" s="170" t="s">
        <v>113</v>
      </c>
      <c r="M228" s="361"/>
      <c r="N228" s="361"/>
      <c r="O228" s="271"/>
    </row>
    <row r="229" spans="1:15">
      <c r="A229" s="457">
        <v>46092</v>
      </c>
      <c r="B229" s="242" t="s">
        <v>364</v>
      </c>
      <c r="C229" s="170" t="s">
        <v>337</v>
      </c>
      <c r="D229" s="458" t="s">
        <v>99</v>
      </c>
      <c r="E229" s="242">
        <v>1000</v>
      </c>
      <c r="F229" s="454">
        <f t="shared" si="3"/>
        <v>1.8677282335885521</v>
      </c>
      <c r="G229" s="239">
        <v>535.40980000000002</v>
      </c>
      <c r="H229" s="459" t="s">
        <v>111</v>
      </c>
      <c r="I229" s="170" t="s">
        <v>380</v>
      </c>
      <c r="J229" s="170" t="s">
        <v>96</v>
      </c>
      <c r="K229" s="170" t="s">
        <v>345</v>
      </c>
      <c r="L229" s="170" t="s">
        <v>113</v>
      </c>
      <c r="M229" s="364"/>
      <c r="N229" s="364"/>
      <c r="O229" s="75"/>
    </row>
    <row r="230" spans="1:15">
      <c r="A230" s="457">
        <v>46092</v>
      </c>
      <c r="B230" s="242" t="s">
        <v>365</v>
      </c>
      <c r="C230" s="170" t="s">
        <v>337</v>
      </c>
      <c r="D230" s="458" t="s">
        <v>99</v>
      </c>
      <c r="E230" s="242">
        <v>1000</v>
      </c>
      <c r="F230" s="454">
        <f t="shared" si="3"/>
        <v>1.8677282335885521</v>
      </c>
      <c r="G230" s="239">
        <v>535.40980000000002</v>
      </c>
      <c r="H230" s="459" t="s">
        <v>111</v>
      </c>
      <c r="I230" s="170" t="s">
        <v>380</v>
      </c>
      <c r="J230" s="170" t="s">
        <v>96</v>
      </c>
      <c r="K230" s="170" t="s">
        <v>345</v>
      </c>
      <c r="L230" s="170" t="s">
        <v>113</v>
      </c>
      <c r="M230" s="364"/>
      <c r="N230" s="364"/>
      <c r="O230" s="75"/>
    </row>
    <row r="231" spans="1:15">
      <c r="A231" s="453">
        <v>46092</v>
      </c>
      <c r="B231" s="242" t="s">
        <v>453</v>
      </c>
      <c r="C231" s="242" t="s">
        <v>130</v>
      </c>
      <c r="D231" s="242" t="s">
        <v>98</v>
      </c>
      <c r="E231" s="460">
        <v>80000</v>
      </c>
      <c r="F231" s="454">
        <f t="shared" si="3"/>
        <v>149.41820287256496</v>
      </c>
      <c r="G231" s="239">
        <v>535.41</v>
      </c>
      <c r="H231" s="242" t="s">
        <v>168</v>
      </c>
      <c r="I231" s="170" t="s">
        <v>516</v>
      </c>
      <c r="J231" s="170" t="s">
        <v>96</v>
      </c>
      <c r="K231" s="170" t="s">
        <v>345</v>
      </c>
      <c r="L231" s="170" t="s">
        <v>113</v>
      </c>
      <c r="M231" s="75"/>
      <c r="N231" s="75"/>
      <c r="O231" s="75"/>
    </row>
    <row r="232" spans="1:15">
      <c r="A232" s="428">
        <v>46092</v>
      </c>
      <c r="B232" s="429" t="s">
        <v>1033</v>
      </c>
      <c r="C232" s="170" t="s">
        <v>337</v>
      </c>
      <c r="D232" s="429" t="s">
        <v>259</v>
      </c>
      <c r="E232" s="429">
        <v>1000</v>
      </c>
      <c r="F232" s="454">
        <f t="shared" si="3"/>
        <v>1.867727535907062</v>
      </c>
      <c r="G232" s="239">
        <v>535.41</v>
      </c>
      <c r="H232" s="429" t="s">
        <v>123</v>
      </c>
      <c r="I232" s="429" t="s">
        <v>550</v>
      </c>
      <c r="J232" s="170" t="s">
        <v>96</v>
      </c>
      <c r="K232" s="170" t="s">
        <v>345</v>
      </c>
      <c r="L232" s="170" t="s">
        <v>113</v>
      </c>
      <c r="M232" s="75"/>
      <c r="N232" s="75"/>
      <c r="O232" s="75"/>
    </row>
    <row r="233" spans="1:15">
      <c r="A233" s="428">
        <v>46092</v>
      </c>
      <c r="B233" s="429" t="s">
        <v>1033</v>
      </c>
      <c r="C233" s="170" t="s">
        <v>337</v>
      </c>
      <c r="D233" s="429" t="s">
        <v>259</v>
      </c>
      <c r="E233" s="429">
        <v>1500</v>
      </c>
      <c r="F233" s="454">
        <f t="shared" si="3"/>
        <v>2.8015913038605929</v>
      </c>
      <c r="G233" s="239">
        <v>535.41</v>
      </c>
      <c r="H233" s="429" t="s">
        <v>123</v>
      </c>
      <c r="I233" s="429" t="s">
        <v>550</v>
      </c>
      <c r="J233" s="170" t="s">
        <v>96</v>
      </c>
      <c r="K233" s="170" t="s">
        <v>345</v>
      </c>
      <c r="L233" s="170" t="s">
        <v>113</v>
      </c>
      <c r="M233" s="75"/>
      <c r="N233" s="75"/>
      <c r="O233" s="75"/>
    </row>
    <row r="234" spans="1:15">
      <c r="A234" s="428">
        <v>46092</v>
      </c>
      <c r="B234" s="429" t="s">
        <v>1033</v>
      </c>
      <c r="C234" s="170" t="s">
        <v>337</v>
      </c>
      <c r="D234" s="429" t="s">
        <v>259</v>
      </c>
      <c r="E234" s="429">
        <v>1500</v>
      </c>
      <c r="F234" s="454">
        <f t="shared" si="3"/>
        <v>2.8015913038605929</v>
      </c>
      <c r="G234" s="239">
        <v>535.41</v>
      </c>
      <c r="H234" s="429" t="s">
        <v>123</v>
      </c>
      <c r="I234" s="429" t="s">
        <v>550</v>
      </c>
      <c r="J234" s="170" t="s">
        <v>96</v>
      </c>
      <c r="K234" s="170" t="s">
        <v>345</v>
      </c>
      <c r="L234" s="170" t="s">
        <v>113</v>
      </c>
      <c r="M234" s="75"/>
      <c r="N234" s="75"/>
      <c r="O234" s="75"/>
    </row>
    <row r="235" spans="1:15">
      <c r="A235" s="428">
        <v>46092</v>
      </c>
      <c r="B235" s="429" t="s">
        <v>1033</v>
      </c>
      <c r="C235" s="170" t="s">
        <v>337</v>
      </c>
      <c r="D235" s="429" t="s">
        <v>259</v>
      </c>
      <c r="E235" s="429">
        <v>1000</v>
      </c>
      <c r="F235" s="454">
        <f t="shared" si="3"/>
        <v>1.867727535907062</v>
      </c>
      <c r="G235" s="239">
        <v>535.41</v>
      </c>
      <c r="H235" s="429" t="s">
        <v>123</v>
      </c>
      <c r="I235" s="429" t="s">
        <v>550</v>
      </c>
      <c r="J235" s="170" t="s">
        <v>96</v>
      </c>
      <c r="K235" s="170" t="s">
        <v>345</v>
      </c>
      <c r="L235" s="170" t="s">
        <v>113</v>
      </c>
      <c r="M235" s="75"/>
      <c r="N235" s="75"/>
      <c r="O235" s="75"/>
    </row>
    <row r="236" spans="1:15">
      <c r="A236" s="428">
        <v>46092</v>
      </c>
      <c r="B236" s="429" t="s">
        <v>1033</v>
      </c>
      <c r="C236" s="170" t="s">
        <v>337</v>
      </c>
      <c r="D236" s="429" t="s">
        <v>259</v>
      </c>
      <c r="E236" s="429">
        <v>1000</v>
      </c>
      <c r="F236" s="454">
        <f t="shared" si="3"/>
        <v>1.867727535907062</v>
      </c>
      <c r="G236" s="239">
        <v>535.41</v>
      </c>
      <c r="H236" s="429" t="s">
        <v>123</v>
      </c>
      <c r="I236" s="429" t="s">
        <v>550</v>
      </c>
      <c r="J236" s="170" t="s">
        <v>96</v>
      </c>
      <c r="K236" s="170" t="s">
        <v>345</v>
      </c>
      <c r="L236" s="170" t="s">
        <v>113</v>
      </c>
      <c r="M236" s="75"/>
      <c r="N236" s="75"/>
      <c r="O236" s="75"/>
    </row>
    <row r="237" spans="1:15">
      <c r="A237" s="428">
        <v>46092</v>
      </c>
      <c r="B237" s="429" t="s">
        <v>545</v>
      </c>
      <c r="C237" s="429" t="s">
        <v>541</v>
      </c>
      <c r="D237" s="429" t="s">
        <v>259</v>
      </c>
      <c r="E237" s="429">
        <v>2000</v>
      </c>
      <c r="F237" s="454">
        <f t="shared" si="3"/>
        <v>3.735455071814124</v>
      </c>
      <c r="G237" s="239">
        <v>535.41</v>
      </c>
      <c r="H237" s="429" t="s">
        <v>123</v>
      </c>
      <c r="I237" s="429" t="s">
        <v>551</v>
      </c>
      <c r="J237" s="170" t="s">
        <v>96</v>
      </c>
      <c r="K237" s="170" t="s">
        <v>345</v>
      </c>
      <c r="L237" s="170" t="s">
        <v>113</v>
      </c>
      <c r="M237" s="75"/>
      <c r="N237" s="75"/>
      <c r="O237" s="75"/>
    </row>
    <row r="238" spans="1:15">
      <c r="A238" s="457">
        <v>46092</v>
      </c>
      <c r="B238" s="242" t="s">
        <v>1046</v>
      </c>
      <c r="C238" s="242" t="s">
        <v>406</v>
      </c>
      <c r="D238" s="242" t="s">
        <v>259</v>
      </c>
      <c r="E238" s="242">
        <v>250000</v>
      </c>
      <c r="F238" s="454">
        <f t="shared" si="3"/>
        <v>466.9318839767655</v>
      </c>
      <c r="G238" s="239">
        <v>535.41</v>
      </c>
      <c r="H238" s="242" t="s">
        <v>122</v>
      </c>
      <c r="I238" s="242" t="s">
        <v>607</v>
      </c>
      <c r="J238" s="170" t="s">
        <v>96</v>
      </c>
      <c r="K238" s="170" t="s">
        <v>345</v>
      </c>
      <c r="L238" s="170" t="s">
        <v>113</v>
      </c>
      <c r="M238" s="75"/>
      <c r="N238" s="75"/>
      <c r="O238" s="75"/>
    </row>
    <row r="239" spans="1:15">
      <c r="A239" s="457">
        <v>46092</v>
      </c>
      <c r="B239" s="242" t="s">
        <v>1025</v>
      </c>
      <c r="C239" s="170" t="s">
        <v>337</v>
      </c>
      <c r="D239" s="242" t="s">
        <v>259</v>
      </c>
      <c r="E239" s="242">
        <v>1000</v>
      </c>
      <c r="F239" s="454">
        <f t="shared" si="3"/>
        <v>1.867727535907062</v>
      </c>
      <c r="G239" s="239">
        <v>535.41</v>
      </c>
      <c r="H239" s="242" t="s">
        <v>122</v>
      </c>
      <c r="I239" s="242" t="s">
        <v>594</v>
      </c>
      <c r="J239" s="170" t="s">
        <v>96</v>
      </c>
      <c r="K239" s="170" t="s">
        <v>345</v>
      </c>
      <c r="L239" s="170" t="s">
        <v>113</v>
      </c>
      <c r="M239" s="75"/>
      <c r="N239" s="75"/>
      <c r="O239" s="75"/>
    </row>
    <row r="240" spans="1:15">
      <c r="A240" s="457">
        <v>46092</v>
      </c>
      <c r="B240" s="242" t="s">
        <v>1025</v>
      </c>
      <c r="C240" s="170" t="s">
        <v>337</v>
      </c>
      <c r="D240" s="242" t="s">
        <v>259</v>
      </c>
      <c r="E240" s="242">
        <v>500</v>
      </c>
      <c r="F240" s="454">
        <f t="shared" si="3"/>
        <v>0.93386376795353099</v>
      </c>
      <c r="G240" s="239">
        <v>535.41</v>
      </c>
      <c r="H240" s="242" t="s">
        <v>122</v>
      </c>
      <c r="I240" s="242" t="s">
        <v>594</v>
      </c>
      <c r="J240" s="170" t="s">
        <v>96</v>
      </c>
      <c r="K240" s="170" t="s">
        <v>345</v>
      </c>
      <c r="L240" s="170" t="s">
        <v>113</v>
      </c>
      <c r="M240" s="75"/>
      <c r="N240" s="75"/>
      <c r="O240" s="75"/>
    </row>
    <row r="241" spans="1:15">
      <c r="A241" s="457">
        <v>46092</v>
      </c>
      <c r="B241" s="242" t="s">
        <v>1027</v>
      </c>
      <c r="C241" s="170" t="s">
        <v>337</v>
      </c>
      <c r="D241" s="242" t="s">
        <v>259</v>
      </c>
      <c r="E241" s="242">
        <v>500</v>
      </c>
      <c r="F241" s="454">
        <f t="shared" si="3"/>
        <v>0.93386376795353099</v>
      </c>
      <c r="G241" s="239">
        <v>535.41</v>
      </c>
      <c r="H241" s="242" t="s">
        <v>131</v>
      </c>
      <c r="I241" s="242" t="s">
        <v>653</v>
      </c>
      <c r="J241" s="170" t="s">
        <v>96</v>
      </c>
      <c r="K241" s="170" t="s">
        <v>345</v>
      </c>
      <c r="L241" s="170" t="s">
        <v>113</v>
      </c>
      <c r="M241" s="75"/>
      <c r="N241" s="75"/>
      <c r="O241" s="75"/>
    </row>
    <row r="242" spans="1:15">
      <c r="A242" s="457">
        <v>46092</v>
      </c>
      <c r="B242" s="242" t="s">
        <v>1027</v>
      </c>
      <c r="C242" s="170" t="s">
        <v>337</v>
      </c>
      <c r="D242" s="242" t="s">
        <v>259</v>
      </c>
      <c r="E242" s="242">
        <v>400</v>
      </c>
      <c r="F242" s="454">
        <f t="shared" si="3"/>
        <v>0.74709101436282477</v>
      </c>
      <c r="G242" s="239">
        <v>535.41</v>
      </c>
      <c r="H242" s="242" t="s">
        <v>131</v>
      </c>
      <c r="I242" s="242" t="s">
        <v>653</v>
      </c>
      <c r="J242" s="170" t="s">
        <v>96</v>
      </c>
      <c r="K242" s="170" t="s">
        <v>345</v>
      </c>
      <c r="L242" s="170" t="s">
        <v>113</v>
      </c>
      <c r="M242" s="75"/>
      <c r="N242" s="75"/>
      <c r="O242" s="75"/>
    </row>
    <row r="243" spans="1:15">
      <c r="A243" s="457">
        <v>46092</v>
      </c>
      <c r="B243" s="242" t="s">
        <v>1027</v>
      </c>
      <c r="C243" s="170" t="s">
        <v>337</v>
      </c>
      <c r="D243" s="242" t="s">
        <v>259</v>
      </c>
      <c r="E243" s="242">
        <v>500</v>
      </c>
      <c r="F243" s="454">
        <f t="shared" si="3"/>
        <v>0.93386376795353099</v>
      </c>
      <c r="G243" s="239">
        <v>535.41</v>
      </c>
      <c r="H243" s="242" t="s">
        <v>131</v>
      </c>
      <c r="I243" s="242" t="s">
        <v>653</v>
      </c>
      <c r="J243" s="170" t="s">
        <v>96</v>
      </c>
      <c r="K243" s="170" t="s">
        <v>345</v>
      </c>
      <c r="L243" s="170" t="s">
        <v>113</v>
      </c>
      <c r="M243" s="75"/>
      <c r="N243" s="75"/>
      <c r="O243" s="75"/>
    </row>
    <row r="244" spans="1:15">
      <c r="A244" s="457">
        <v>46092</v>
      </c>
      <c r="B244" s="242" t="s">
        <v>1027</v>
      </c>
      <c r="C244" s="170" t="s">
        <v>337</v>
      </c>
      <c r="D244" s="242" t="s">
        <v>259</v>
      </c>
      <c r="E244" s="242">
        <v>500</v>
      </c>
      <c r="F244" s="454">
        <f t="shared" si="3"/>
        <v>0.93386376795353099</v>
      </c>
      <c r="G244" s="239">
        <v>535.41</v>
      </c>
      <c r="H244" s="242" t="s">
        <v>131</v>
      </c>
      <c r="I244" s="242" t="s">
        <v>653</v>
      </c>
      <c r="J244" s="170" t="s">
        <v>96</v>
      </c>
      <c r="K244" s="170" t="s">
        <v>345</v>
      </c>
      <c r="L244" s="170" t="s">
        <v>113</v>
      </c>
      <c r="M244" s="75"/>
      <c r="N244" s="75"/>
      <c r="O244" s="75"/>
    </row>
    <row r="245" spans="1:15">
      <c r="A245" s="457">
        <v>46092</v>
      </c>
      <c r="B245" s="242" t="s">
        <v>1031</v>
      </c>
      <c r="C245" s="170" t="s">
        <v>337</v>
      </c>
      <c r="D245" s="242" t="s">
        <v>259</v>
      </c>
      <c r="E245" s="242">
        <v>400</v>
      </c>
      <c r="F245" s="454">
        <f t="shared" si="3"/>
        <v>0.74709101436282477</v>
      </c>
      <c r="G245" s="239">
        <v>535.41</v>
      </c>
      <c r="H245" s="242" t="s">
        <v>131</v>
      </c>
      <c r="I245" s="242" t="s">
        <v>653</v>
      </c>
      <c r="J245" s="170" t="s">
        <v>96</v>
      </c>
      <c r="K245" s="170" t="s">
        <v>345</v>
      </c>
      <c r="L245" s="170" t="s">
        <v>113</v>
      </c>
      <c r="M245" s="75"/>
      <c r="N245" s="75"/>
      <c r="O245" s="75"/>
    </row>
    <row r="246" spans="1:15">
      <c r="A246" s="453">
        <v>46092</v>
      </c>
      <c r="B246" s="170" t="s">
        <v>1041</v>
      </c>
      <c r="C246" s="170" t="s">
        <v>647</v>
      </c>
      <c r="D246" s="170" t="s">
        <v>259</v>
      </c>
      <c r="E246" s="170">
        <v>5500</v>
      </c>
      <c r="F246" s="454">
        <f t="shared" si="3"/>
        <v>10.272501447488841</v>
      </c>
      <c r="G246" s="239">
        <v>535.41</v>
      </c>
      <c r="H246" s="170" t="s">
        <v>131</v>
      </c>
      <c r="I246" s="242" t="s">
        <v>658</v>
      </c>
      <c r="J246" s="170" t="s">
        <v>96</v>
      </c>
      <c r="K246" s="170" t="s">
        <v>345</v>
      </c>
      <c r="L246" s="170" t="s">
        <v>113</v>
      </c>
      <c r="M246" s="75"/>
      <c r="N246" s="75"/>
      <c r="O246" s="75"/>
    </row>
    <row r="247" spans="1:15">
      <c r="A247" s="457">
        <v>46092</v>
      </c>
      <c r="B247" s="242" t="s">
        <v>1027</v>
      </c>
      <c r="C247" s="170" t="s">
        <v>337</v>
      </c>
      <c r="D247" s="242" t="s">
        <v>259</v>
      </c>
      <c r="E247" s="242">
        <v>500</v>
      </c>
      <c r="F247" s="454">
        <f t="shared" si="3"/>
        <v>0.93386376795353099</v>
      </c>
      <c r="G247" s="239">
        <v>535.41</v>
      </c>
      <c r="H247" s="242" t="s">
        <v>131</v>
      </c>
      <c r="I247" s="242" t="s">
        <v>653</v>
      </c>
      <c r="J247" s="170" t="s">
        <v>96</v>
      </c>
      <c r="K247" s="170" t="s">
        <v>345</v>
      </c>
      <c r="L247" s="170" t="s">
        <v>113</v>
      </c>
      <c r="M247" s="75"/>
      <c r="N247" s="75"/>
      <c r="O247" s="75"/>
    </row>
    <row r="248" spans="1:15">
      <c r="A248" s="453">
        <v>46092</v>
      </c>
      <c r="B248" s="170" t="s">
        <v>803</v>
      </c>
      <c r="C248" s="242" t="s">
        <v>463</v>
      </c>
      <c r="D248" s="242" t="s">
        <v>98</v>
      </c>
      <c r="E248" s="460">
        <v>6180</v>
      </c>
      <c r="F248" s="454">
        <f t="shared" si="3"/>
        <v>11.542556171905643</v>
      </c>
      <c r="G248" s="239">
        <v>535.41</v>
      </c>
      <c r="H248" s="242" t="s">
        <v>124</v>
      </c>
      <c r="I248" s="170" t="s">
        <v>841</v>
      </c>
      <c r="J248" s="170" t="s">
        <v>96</v>
      </c>
      <c r="K248" s="170" t="s">
        <v>345</v>
      </c>
      <c r="L248" s="170" t="s">
        <v>113</v>
      </c>
      <c r="M248" s="75"/>
      <c r="N248" s="75"/>
      <c r="O248" s="75"/>
    </row>
    <row r="249" spans="1:15">
      <c r="A249" s="457">
        <v>46092</v>
      </c>
      <c r="B249" s="242" t="s">
        <v>804</v>
      </c>
      <c r="C249" s="170" t="s">
        <v>337</v>
      </c>
      <c r="D249" s="242" t="s">
        <v>97</v>
      </c>
      <c r="E249" s="242">
        <v>500</v>
      </c>
      <c r="F249" s="454">
        <f t="shared" si="3"/>
        <v>0.93386376795353099</v>
      </c>
      <c r="G249" s="239">
        <v>535.41</v>
      </c>
      <c r="H249" s="242" t="s">
        <v>124</v>
      </c>
      <c r="I249" s="242" t="s">
        <v>836</v>
      </c>
      <c r="J249" s="170" t="s">
        <v>96</v>
      </c>
      <c r="K249" s="170" t="s">
        <v>345</v>
      </c>
      <c r="L249" s="170" t="s">
        <v>113</v>
      </c>
      <c r="M249" s="75"/>
      <c r="N249" s="75"/>
      <c r="O249" s="75"/>
    </row>
    <row r="250" spans="1:15">
      <c r="A250" s="457">
        <v>46092</v>
      </c>
      <c r="B250" s="242" t="s">
        <v>466</v>
      </c>
      <c r="C250" s="170" t="s">
        <v>337</v>
      </c>
      <c r="D250" s="242" t="s">
        <v>97</v>
      </c>
      <c r="E250" s="242">
        <v>500</v>
      </c>
      <c r="F250" s="454">
        <f t="shared" si="3"/>
        <v>0.93386376795353099</v>
      </c>
      <c r="G250" s="239">
        <v>535.41</v>
      </c>
      <c r="H250" s="242" t="s">
        <v>124</v>
      </c>
      <c r="I250" s="242" t="s">
        <v>836</v>
      </c>
      <c r="J250" s="170" t="s">
        <v>96</v>
      </c>
      <c r="K250" s="170" t="s">
        <v>345</v>
      </c>
      <c r="L250" s="170" t="s">
        <v>113</v>
      </c>
      <c r="M250" s="75"/>
      <c r="N250" s="75"/>
      <c r="O250" s="75"/>
    </row>
    <row r="251" spans="1:15">
      <c r="A251" s="457">
        <v>46093</v>
      </c>
      <c r="B251" s="242" t="s">
        <v>186</v>
      </c>
      <c r="C251" s="170" t="s">
        <v>337</v>
      </c>
      <c r="D251" s="458" t="s">
        <v>99</v>
      </c>
      <c r="E251" s="242">
        <v>1000</v>
      </c>
      <c r="F251" s="454">
        <f t="shared" si="3"/>
        <v>1.8677282335885521</v>
      </c>
      <c r="G251" s="239">
        <v>535.40980000000002</v>
      </c>
      <c r="H251" s="459" t="s">
        <v>111</v>
      </c>
      <c r="I251" s="170" t="s">
        <v>380</v>
      </c>
      <c r="J251" s="170" t="s">
        <v>96</v>
      </c>
      <c r="K251" s="170" t="s">
        <v>345</v>
      </c>
      <c r="L251" s="170" t="s">
        <v>113</v>
      </c>
      <c r="M251" s="364"/>
      <c r="N251" s="364"/>
      <c r="O251" s="75"/>
    </row>
    <row r="252" spans="1:15">
      <c r="A252" s="457">
        <v>46093</v>
      </c>
      <c r="B252" s="242" t="s">
        <v>366</v>
      </c>
      <c r="C252" s="170" t="s">
        <v>337</v>
      </c>
      <c r="D252" s="458" t="s">
        <v>99</v>
      </c>
      <c r="E252" s="242">
        <v>1000</v>
      </c>
      <c r="F252" s="454">
        <f t="shared" si="3"/>
        <v>1.8677282335885521</v>
      </c>
      <c r="G252" s="239">
        <v>535.40980000000002</v>
      </c>
      <c r="H252" s="459" t="s">
        <v>111</v>
      </c>
      <c r="I252" s="170" t="s">
        <v>380</v>
      </c>
      <c r="J252" s="170" t="s">
        <v>96</v>
      </c>
      <c r="K252" s="170" t="s">
        <v>345</v>
      </c>
      <c r="L252" s="170" t="s">
        <v>113</v>
      </c>
      <c r="M252" s="364"/>
      <c r="N252" s="364"/>
      <c r="O252" s="75"/>
    </row>
    <row r="253" spans="1:15">
      <c r="A253" s="457">
        <v>46093</v>
      </c>
      <c r="B253" s="242" t="s">
        <v>367</v>
      </c>
      <c r="C253" s="170" t="s">
        <v>337</v>
      </c>
      <c r="D253" s="458" t="s">
        <v>99</v>
      </c>
      <c r="E253" s="242">
        <v>1000</v>
      </c>
      <c r="F253" s="454">
        <f t="shared" si="3"/>
        <v>1.8677282335885521</v>
      </c>
      <c r="G253" s="239">
        <v>535.40980000000002</v>
      </c>
      <c r="H253" s="459" t="s">
        <v>111</v>
      </c>
      <c r="I253" s="170" t="s">
        <v>380</v>
      </c>
      <c r="J253" s="170" t="s">
        <v>96</v>
      </c>
      <c r="K253" s="170" t="s">
        <v>345</v>
      </c>
      <c r="L253" s="170" t="s">
        <v>113</v>
      </c>
      <c r="M253" s="364"/>
      <c r="N253" s="364"/>
      <c r="O253" s="75"/>
    </row>
    <row r="254" spans="1:15">
      <c r="A254" s="457">
        <v>46093</v>
      </c>
      <c r="B254" s="242" t="s">
        <v>187</v>
      </c>
      <c r="C254" s="170" t="s">
        <v>337</v>
      </c>
      <c r="D254" s="458" t="s">
        <v>99</v>
      </c>
      <c r="E254" s="242">
        <v>1000</v>
      </c>
      <c r="F254" s="454">
        <f t="shared" si="3"/>
        <v>1.8677282335885521</v>
      </c>
      <c r="G254" s="239">
        <v>535.40980000000002</v>
      </c>
      <c r="H254" s="459" t="s">
        <v>111</v>
      </c>
      <c r="I254" s="170" t="s">
        <v>380</v>
      </c>
      <c r="J254" s="170" t="s">
        <v>96</v>
      </c>
      <c r="K254" s="170" t="s">
        <v>345</v>
      </c>
      <c r="L254" s="170" t="s">
        <v>113</v>
      </c>
      <c r="M254" s="364"/>
      <c r="N254" s="364"/>
      <c r="O254" s="75"/>
    </row>
    <row r="255" spans="1:15">
      <c r="A255" s="467">
        <v>46093</v>
      </c>
      <c r="B255" s="242" t="s">
        <v>441</v>
      </c>
      <c r="C255" s="170" t="s">
        <v>337</v>
      </c>
      <c r="D255" s="242" t="s">
        <v>98</v>
      </c>
      <c r="E255" s="298">
        <v>1000</v>
      </c>
      <c r="F255" s="454">
        <f t="shared" si="3"/>
        <v>1.867727535907062</v>
      </c>
      <c r="G255" s="239">
        <v>535.41</v>
      </c>
      <c r="H255" s="242" t="s">
        <v>168</v>
      </c>
      <c r="I255" s="242" t="s">
        <v>510</v>
      </c>
      <c r="J255" s="170" t="s">
        <v>96</v>
      </c>
      <c r="K255" s="170" t="s">
        <v>345</v>
      </c>
      <c r="L255" s="170" t="s">
        <v>113</v>
      </c>
      <c r="M255" s="75"/>
      <c r="N255" s="75"/>
      <c r="O255" s="75"/>
    </row>
    <row r="256" spans="1:15">
      <c r="A256" s="467">
        <v>46093</v>
      </c>
      <c r="B256" s="242" t="s">
        <v>327</v>
      </c>
      <c r="C256" s="170" t="s">
        <v>337</v>
      </c>
      <c r="D256" s="242" t="s">
        <v>98</v>
      </c>
      <c r="E256" s="298">
        <v>1000</v>
      </c>
      <c r="F256" s="454">
        <f t="shared" si="3"/>
        <v>1.867727535907062</v>
      </c>
      <c r="G256" s="239">
        <v>535.41</v>
      </c>
      <c r="H256" s="242" t="s">
        <v>168</v>
      </c>
      <c r="I256" s="242" t="s">
        <v>510</v>
      </c>
      <c r="J256" s="170" t="s">
        <v>96</v>
      </c>
      <c r="K256" s="170" t="s">
        <v>345</v>
      </c>
      <c r="L256" s="170" t="s">
        <v>113</v>
      </c>
      <c r="M256" s="75"/>
      <c r="N256" s="75"/>
      <c r="O256" s="75"/>
    </row>
    <row r="257" spans="1:15">
      <c r="A257" s="467">
        <v>46093</v>
      </c>
      <c r="B257" s="242" t="s">
        <v>454</v>
      </c>
      <c r="C257" s="170" t="s">
        <v>337</v>
      </c>
      <c r="D257" s="242" t="s">
        <v>98</v>
      </c>
      <c r="E257" s="298">
        <v>1000</v>
      </c>
      <c r="F257" s="454">
        <f t="shared" si="3"/>
        <v>1.867727535907062</v>
      </c>
      <c r="G257" s="239">
        <v>535.41</v>
      </c>
      <c r="H257" s="242" t="s">
        <v>168</v>
      </c>
      <c r="I257" s="242" t="s">
        <v>510</v>
      </c>
      <c r="J257" s="170" t="s">
        <v>96</v>
      </c>
      <c r="K257" s="170" t="s">
        <v>345</v>
      </c>
      <c r="L257" s="170" t="s">
        <v>113</v>
      </c>
      <c r="M257" s="75"/>
      <c r="N257" s="75"/>
      <c r="O257" s="75"/>
    </row>
    <row r="258" spans="1:15">
      <c r="A258" s="467">
        <v>46093</v>
      </c>
      <c r="B258" s="242" t="s">
        <v>197</v>
      </c>
      <c r="C258" s="170" t="s">
        <v>337</v>
      </c>
      <c r="D258" s="242" t="s">
        <v>98</v>
      </c>
      <c r="E258" s="298">
        <v>1000</v>
      </c>
      <c r="F258" s="454">
        <f t="shared" ref="F258:F321" si="4">E258/G258</f>
        <v>1.867727535907062</v>
      </c>
      <c r="G258" s="239">
        <v>535.41</v>
      </c>
      <c r="H258" s="242" t="s">
        <v>168</v>
      </c>
      <c r="I258" s="242" t="s">
        <v>510</v>
      </c>
      <c r="J258" s="170" t="s">
        <v>96</v>
      </c>
      <c r="K258" s="170" t="s">
        <v>345</v>
      </c>
      <c r="L258" s="170" t="s">
        <v>113</v>
      </c>
      <c r="M258" s="75"/>
      <c r="N258" s="75"/>
      <c r="O258" s="75"/>
    </row>
    <row r="259" spans="1:15">
      <c r="A259" s="428">
        <v>46093</v>
      </c>
      <c r="B259" s="429" t="s">
        <v>1033</v>
      </c>
      <c r="C259" s="170" t="s">
        <v>337</v>
      </c>
      <c r="D259" s="429" t="s">
        <v>259</v>
      </c>
      <c r="E259" s="429">
        <v>1000</v>
      </c>
      <c r="F259" s="454">
        <f t="shared" si="4"/>
        <v>1.867727535907062</v>
      </c>
      <c r="G259" s="239">
        <v>535.41</v>
      </c>
      <c r="H259" s="429" t="s">
        <v>123</v>
      </c>
      <c r="I259" s="429" t="s">
        <v>550</v>
      </c>
      <c r="J259" s="170" t="s">
        <v>96</v>
      </c>
      <c r="K259" s="170" t="s">
        <v>345</v>
      </c>
      <c r="L259" s="170" t="s">
        <v>113</v>
      </c>
      <c r="M259" s="75"/>
      <c r="N259" s="75"/>
      <c r="O259" s="75"/>
    </row>
    <row r="260" spans="1:15">
      <c r="A260" s="428">
        <v>46093</v>
      </c>
      <c r="B260" s="429" t="s">
        <v>1033</v>
      </c>
      <c r="C260" s="170" t="s">
        <v>337</v>
      </c>
      <c r="D260" s="429" t="s">
        <v>259</v>
      </c>
      <c r="E260" s="429">
        <v>1500</v>
      </c>
      <c r="F260" s="454">
        <f t="shared" si="4"/>
        <v>2.8015913038605929</v>
      </c>
      <c r="G260" s="239">
        <v>535.41</v>
      </c>
      <c r="H260" s="429" t="s">
        <v>123</v>
      </c>
      <c r="I260" s="429" t="s">
        <v>550</v>
      </c>
      <c r="J260" s="170" t="s">
        <v>96</v>
      </c>
      <c r="K260" s="170" t="s">
        <v>345</v>
      </c>
      <c r="L260" s="170" t="s">
        <v>113</v>
      </c>
      <c r="M260" s="75"/>
      <c r="N260" s="75"/>
      <c r="O260" s="75"/>
    </row>
    <row r="261" spans="1:15">
      <c r="A261" s="428">
        <v>46093</v>
      </c>
      <c r="B261" s="429" t="s">
        <v>1033</v>
      </c>
      <c r="C261" s="170" t="s">
        <v>337</v>
      </c>
      <c r="D261" s="429" t="s">
        <v>259</v>
      </c>
      <c r="E261" s="429">
        <v>1000</v>
      </c>
      <c r="F261" s="454">
        <f t="shared" si="4"/>
        <v>1.867727535907062</v>
      </c>
      <c r="G261" s="239">
        <v>535.41</v>
      </c>
      <c r="H261" s="429" t="s">
        <v>123</v>
      </c>
      <c r="I261" s="429" t="s">
        <v>550</v>
      </c>
      <c r="J261" s="170" t="s">
        <v>96</v>
      </c>
      <c r="K261" s="170" t="s">
        <v>345</v>
      </c>
      <c r="L261" s="170" t="s">
        <v>113</v>
      </c>
      <c r="M261" s="75"/>
      <c r="N261" s="75"/>
      <c r="O261" s="75"/>
    </row>
    <row r="262" spans="1:15">
      <c r="A262" s="428">
        <v>46093</v>
      </c>
      <c r="B262" s="429" t="s">
        <v>1033</v>
      </c>
      <c r="C262" s="170" t="s">
        <v>337</v>
      </c>
      <c r="D262" s="429" t="s">
        <v>259</v>
      </c>
      <c r="E262" s="429">
        <v>1000</v>
      </c>
      <c r="F262" s="454">
        <f t="shared" si="4"/>
        <v>1.867727535907062</v>
      </c>
      <c r="G262" s="239">
        <v>535.41</v>
      </c>
      <c r="H262" s="429" t="s">
        <v>123</v>
      </c>
      <c r="I262" s="429" t="s">
        <v>550</v>
      </c>
      <c r="J262" s="170" t="s">
        <v>96</v>
      </c>
      <c r="K262" s="170" t="s">
        <v>345</v>
      </c>
      <c r="L262" s="170" t="s">
        <v>113</v>
      </c>
      <c r="M262" s="75"/>
      <c r="N262" s="75"/>
      <c r="O262" s="75"/>
    </row>
    <row r="263" spans="1:15">
      <c r="A263" s="428">
        <v>46093</v>
      </c>
      <c r="B263" s="429" t="s">
        <v>1033</v>
      </c>
      <c r="C263" s="170" t="s">
        <v>337</v>
      </c>
      <c r="D263" s="429" t="s">
        <v>259</v>
      </c>
      <c r="E263" s="429">
        <v>1000</v>
      </c>
      <c r="F263" s="454">
        <f t="shared" si="4"/>
        <v>1.867727535907062</v>
      </c>
      <c r="G263" s="239">
        <v>535.41</v>
      </c>
      <c r="H263" s="429" t="s">
        <v>123</v>
      </c>
      <c r="I263" s="429" t="s">
        <v>550</v>
      </c>
      <c r="J263" s="170" t="s">
        <v>96</v>
      </c>
      <c r="K263" s="170" t="s">
        <v>345</v>
      </c>
      <c r="L263" s="170" t="s">
        <v>113</v>
      </c>
      <c r="M263" s="75"/>
      <c r="N263" s="75"/>
      <c r="O263" s="75"/>
    </row>
    <row r="264" spans="1:15">
      <c r="A264" s="428">
        <v>46093</v>
      </c>
      <c r="B264" s="429" t="s">
        <v>545</v>
      </c>
      <c r="C264" s="429" t="s">
        <v>541</v>
      </c>
      <c r="D264" s="429" t="s">
        <v>259</v>
      </c>
      <c r="E264" s="429">
        <v>2000</v>
      </c>
      <c r="F264" s="454">
        <f t="shared" si="4"/>
        <v>3.735455071814124</v>
      </c>
      <c r="G264" s="239">
        <v>535.41</v>
      </c>
      <c r="H264" s="429" t="s">
        <v>123</v>
      </c>
      <c r="I264" s="429" t="s">
        <v>551</v>
      </c>
      <c r="J264" s="170" t="s">
        <v>96</v>
      </c>
      <c r="K264" s="170" t="s">
        <v>345</v>
      </c>
      <c r="L264" s="170" t="s">
        <v>113</v>
      </c>
      <c r="M264" s="75"/>
      <c r="N264" s="75"/>
      <c r="O264" s="75"/>
    </row>
    <row r="265" spans="1:15">
      <c r="A265" s="457">
        <v>46093</v>
      </c>
      <c r="B265" s="170" t="s">
        <v>1034</v>
      </c>
      <c r="C265" s="242" t="s">
        <v>406</v>
      </c>
      <c r="D265" s="242" t="s">
        <v>259</v>
      </c>
      <c r="E265" s="242">
        <v>10000</v>
      </c>
      <c r="F265" s="454">
        <f t="shared" si="4"/>
        <v>18.67727535907062</v>
      </c>
      <c r="G265" s="239">
        <v>535.41</v>
      </c>
      <c r="H265" s="242" t="s">
        <v>122</v>
      </c>
      <c r="I265" s="242" t="s">
        <v>608</v>
      </c>
      <c r="J265" s="170" t="s">
        <v>96</v>
      </c>
      <c r="K265" s="170" t="s">
        <v>345</v>
      </c>
      <c r="L265" s="170" t="s">
        <v>113</v>
      </c>
      <c r="M265" s="75"/>
      <c r="N265" s="75"/>
      <c r="O265" s="75"/>
    </row>
    <row r="266" spans="1:15">
      <c r="A266" s="457">
        <v>46093</v>
      </c>
      <c r="B266" s="242" t="s">
        <v>1025</v>
      </c>
      <c r="C266" s="170" t="s">
        <v>337</v>
      </c>
      <c r="D266" s="242" t="s">
        <v>259</v>
      </c>
      <c r="E266" s="242">
        <v>500</v>
      </c>
      <c r="F266" s="454">
        <f t="shared" si="4"/>
        <v>0.93386376795353099</v>
      </c>
      <c r="G266" s="239">
        <v>535.41</v>
      </c>
      <c r="H266" s="242" t="s">
        <v>122</v>
      </c>
      <c r="I266" s="242" t="s">
        <v>594</v>
      </c>
      <c r="J266" s="170" t="s">
        <v>96</v>
      </c>
      <c r="K266" s="170" t="s">
        <v>345</v>
      </c>
      <c r="L266" s="170" t="s">
        <v>113</v>
      </c>
      <c r="M266" s="75"/>
      <c r="N266" s="75"/>
      <c r="O266" s="75"/>
    </row>
    <row r="267" spans="1:15">
      <c r="A267" s="457">
        <v>46093</v>
      </c>
      <c r="B267" s="242" t="s">
        <v>1035</v>
      </c>
      <c r="C267" s="242" t="s">
        <v>402</v>
      </c>
      <c r="D267" s="242" t="s">
        <v>259</v>
      </c>
      <c r="E267" s="242">
        <v>2000</v>
      </c>
      <c r="F267" s="454">
        <f t="shared" si="4"/>
        <v>3.735455071814124</v>
      </c>
      <c r="G267" s="239">
        <v>535.41</v>
      </c>
      <c r="H267" s="242" t="s">
        <v>122</v>
      </c>
      <c r="I267" s="242" t="s">
        <v>609</v>
      </c>
      <c r="J267" s="170" t="s">
        <v>96</v>
      </c>
      <c r="K267" s="170" t="s">
        <v>345</v>
      </c>
      <c r="L267" s="170" t="s">
        <v>113</v>
      </c>
      <c r="M267" s="75"/>
      <c r="N267" s="75"/>
      <c r="O267" s="75"/>
    </row>
    <row r="268" spans="1:15">
      <c r="A268" s="457">
        <v>46093</v>
      </c>
      <c r="B268" s="242" t="s">
        <v>1089</v>
      </c>
      <c r="C268" s="170" t="s">
        <v>337</v>
      </c>
      <c r="D268" s="242" t="s">
        <v>259</v>
      </c>
      <c r="E268" s="242">
        <v>1000</v>
      </c>
      <c r="F268" s="454">
        <f t="shared" si="4"/>
        <v>1.867727535907062</v>
      </c>
      <c r="G268" s="239">
        <v>535.41</v>
      </c>
      <c r="H268" s="242" t="s">
        <v>122</v>
      </c>
      <c r="I268" s="242" t="s">
        <v>594</v>
      </c>
      <c r="J268" s="170" t="s">
        <v>96</v>
      </c>
      <c r="K268" s="170" t="s">
        <v>345</v>
      </c>
      <c r="L268" s="170" t="s">
        <v>113</v>
      </c>
      <c r="M268" s="75"/>
      <c r="N268" s="75"/>
      <c r="O268" s="75"/>
    </row>
    <row r="269" spans="1:15">
      <c r="A269" s="457">
        <v>46093</v>
      </c>
      <c r="B269" s="242" t="s">
        <v>1027</v>
      </c>
      <c r="C269" s="170" t="s">
        <v>337</v>
      </c>
      <c r="D269" s="242" t="s">
        <v>259</v>
      </c>
      <c r="E269" s="242">
        <v>500</v>
      </c>
      <c r="F269" s="454">
        <f t="shared" si="4"/>
        <v>0.93386376795353099</v>
      </c>
      <c r="G269" s="239">
        <v>535.41</v>
      </c>
      <c r="H269" s="242" t="s">
        <v>122</v>
      </c>
      <c r="I269" s="242" t="s">
        <v>594</v>
      </c>
      <c r="J269" s="170" t="s">
        <v>96</v>
      </c>
      <c r="K269" s="170" t="s">
        <v>345</v>
      </c>
      <c r="L269" s="170" t="s">
        <v>113</v>
      </c>
      <c r="M269" s="75"/>
      <c r="N269" s="75"/>
      <c r="O269" s="75"/>
    </row>
    <row r="270" spans="1:15">
      <c r="A270" s="457">
        <v>46093</v>
      </c>
      <c r="B270" s="242" t="s">
        <v>1027</v>
      </c>
      <c r="C270" s="170" t="s">
        <v>337</v>
      </c>
      <c r="D270" s="242" t="s">
        <v>259</v>
      </c>
      <c r="E270" s="242">
        <v>500</v>
      </c>
      <c r="F270" s="454">
        <f t="shared" si="4"/>
        <v>0.93386376795353099</v>
      </c>
      <c r="G270" s="239">
        <v>535.41</v>
      </c>
      <c r="H270" s="242" t="s">
        <v>122</v>
      </c>
      <c r="I270" s="242" t="s">
        <v>594</v>
      </c>
      <c r="J270" s="170" t="s">
        <v>96</v>
      </c>
      <c r="K270" s="170" t="s">
        <v>345</v>
      </c>
      <c r="L270" s="170" t="s">
        <v>113</v>
      </c>
      <c r="M270" s="75"/>
      <c r="N270" s="75"/>
      <c r="O270" s="75"/>
    </row>
    <row r="271" spans="1:15">
      <c r="A271" s="457">
        <v>46093</v>
      </c>
      <c r="B271" s="242" t="s">
        <v>1031</v>
      </c>
      <c r="C271" s="170" t="s">
        <v>337</v>
      </c>
      <c r="D271" s="242" t="s">
        <v>259</v>
      </c>
      <c r="E271" s="242">
        <v>500</v>
      </c>
      <c r="F271" s="454">
        <f t="shared" si="4"/>
        <v>0.93386376795353099</v>
      </c>
      <c r="G271" s="239">
        <v>535.41</v>
      </c>
      <c r="H271" s="242" t="s">
        <v>122</v>
      </c>
      <c r="I271" s="242" t="s">
        <v>594</v>
      </c>
      <c r="J271" s="170" t="s">
        <v>96</v>
      </c>
      <c r="K271" s="170" t="s">
        <v>345</v>
      </c>
      <c r="L271" s="170" t="s">
        <v>113</v>
      </c>
      <c r="M271" s="75"/>
      <c r="N271" s="75"/>
      <c r="O271" s="75"/>
    </row>
    <row r="272" spans="1:15">
      <c r="A272" s="457">
        <v>46093</v>
      </c>
      <c r="B272" s="242" t="s">
        <v>1031</v>
      </c>
      <c r="C272" s="170" t="s">
        <v>337</v>
      </c>
      <c r="D272" s="242" t="s">
        <v>259</v>
      </c>
      <c r="E272" s="242">
        <v>500</v>
      </c>
      <c r="F272" s="454">
        <f t="shared" si="4"/>
        <v>0.93386376795353099</v>
      </c>
      <c r="G272" s="239">
        <v>535.41</v>
      </c>
      <c r="H272" s="242" t="s">
        <v>122</v>
      </c>
      <c r="I272" s="242" t="s">
        <v>594</v>
      </c>
      <c r="J272" s="170" t="s">
        <v>96</v>
      </c>
      <c r="K272" s="170" t="s">
        <v>345</v>
      </c>
      <c r="L272" s="170" t="s">
        <v>113</v>
      </c>
      <c r="M272" s="75"/>
      <c r="N272" s="75"/>
      <c r="O272" s="75"/>
    </row>
    <row r="273" spans="1:15">
      <c r="A273" s="457">
        <v>46093</v>
      </c>
      <c r="B273" s="242" t="s">
        <v>1031</v>
      </c>
      <c r="C273" s="170" t="s">
        <v>337</v>
      </c>
      <c r="D273" s="242" t="s">
        <v>259</v>
      </c>
      <c r="E273" s="242">
        <v>500</v>
      </c>
      <c r="F273" s="454">
        <f t="shared" si="4"/>
        <v>0.93386376795353099</v>
      </c>
      <c r="G273" s="239">
        <v>535.41</v>
      </c>
      <c r="H273" s="242" t="s">
        <v>122</v>
      </c>
      <c r="I273" s="242" t="s">
        <v>594</v>
      </c>
      <c r="J273" s="170" t="s">
        <v>96</v>
      </c>
      <c r="K273" s="170" t="s">
        <v>345</v>
      </c>
      <c r="L273" s="170" t="s">
        <v>113</v>
      </c>
      <c r="M273" s="75"/>
      <c r="N273" s="75"/>
      <c r="O273" s="75"/>
    </row>
    <row r="274" spans="1:15">
      <c r="A274" s="457">
        <v>46093</v>
      </c>
      <c r="B274" s="242" t="s">
        <v>1027</v>
      </c>
      <c r="C274" s="170" t="s">
        <v>337</v>
      </c>
      <c r="D274" s="242" t="s">
        <v>259</v>
      </c>
      <c r="E274" s="242">
        <v>500</v>
      </c>
      <c r="F274" s="454">
        <f t="shared" si="4"/>
        <v>0.93386376795353099</v>
      </c>
      <c r="G274" s="239">
        <v>535.41</v>
      </c>
      <c r="H274" s="242" t="s">
        <v>122</v>
      </c>
      <c r="I274" s="242" t="s">
        <v>594</v>
      </c>
      <c r="J274" s="170" t="s">
        <v>96</v>
      </c>
      <c r="K274" s="170" t="s">
        <v>345</v>
      </c>
      <c r="L274" s="170" t="s">
        <v>113</v>
      </c>
      <c r="M274" s="75"/>
      <c r="N274" s="75"/>
      <c r="O274" s="75"/>
    </row>
    <row r="275" spans="1:15">
      <c r="A275" s="457">
        <v>46093</v>
      </c>
      <c r="B275" s="242" t="s">
        <v>1027</v>
      </c>
      <c r="C275" s="170" t="s">
        <v>337</v>
      </c>
      <c r="D275" s="242" t="s">
        <v>259</v>
      </c>
      <c r="E275" s="242">
        <v>500</v>
      </c>
      <c r="F275" s="454">
        <f t="shared" si="4"/>
        <v>0.93386376795353099</v>
      </c>
      <c r="G275" s="239">
        <v>535.41</v>
      </c>
      <c r="H275" s="242" t="s">
        <v>122</v>
      </c>
      <c r="I275" s="242" t="s">
        <v>594</v>
      </c>
      <c r="J275" s="170" t="s">
        <v>96</v>
      </c>
      <c r="K275" s="170" t="s">
        <v>345</v>
      </c>
      <c r="L275" s="170" t="s">
        <v>113</v>
      </c>
      <c r="M275" s="75"/>
      <c r="N275" s="75"/>
      <c r="O275" s="75"/>
    </row>
    <row r="276" spans="1:15">
      <c r="A276" s="457">
        <v>46093</v>
      </c>
      <c r="B276" s="242" t="s">
        <v>1050</v>
      </c>
      <c r="C276" s="242" t="s">
        <v>587</v>
      </c>
      <c r="D276" s="242" t="s">
        <v>259</v>
      </c>
      <c r="E276" s="242">
        <v>2000</v>
      </c>
      <c r="F276" s="454">
        <f t="shared" si="4"/>
        <v>3.735455071814124</v>
      </c>
      <c r="G276" s="239">
        <v>535.41</v>
      </c>
      <c r="H276" s="242" t="s">
        <v>122</v>
      </c>
      <c r="I276" s="242" t="s">
        <v>596</v>
      </c>
      <c r="J276" s="170" t="s">
        <v>96</v>
      </c>
      <c r="K276" s="170" t="s">
        <v>345</v>
      </c>
      <c r="L276" s="170" t="s">
        <v>113</v>
      </c>
      <c r="M276" s="75"/>
      <c r="N276" s="75"/>
      <c r="O276" s="75"/>
    </row>
    <row r="277" spans="1:15">
      <c r="A277" s="457">
        <v>46093</v>
      </c>
      <c r="B277" s="242" t="s">
        <v>1031</v>
      </c>
      <c r="C277" s="170" t="s">
        <v>337</v>
      </c>
      <c r="D277" s="242" t="s">
        <v>259</v>
      </c>
      <c r="E277" s="242">
        <v>500</v>
      </c>
      <c r="F277" s="454">
        <f t="shared" si="4"/>
        <v>0.93386376795353099</v>
      </c>
      <c r="G277" s="239">
        <v>535.41</v>
      </c>
      <c r="H277" s="242" t="s">
        <v>131</v>
      </c>
      <c r="I277" s="242" t="s">
        <v>653</v>
      </c>
      <c r="J277" s="170" t="s">
        <v>96</v>
      </c>
      <c r="K277" s="170" t="s">
        <v>345</v>
      </c>
      <c r="L277" s="170" t="s">
        <v>113</v>
      </c>
      <c r="M277" s="75"/>
      <c r="N277" s="75"/>
      <c r="O277" s="75"/>
    </row>
    <row r="278" spans="1:15">
      <c r="A278" s="457">
        <v>46093</v>
      </c>
      <c r="B278" s="242" t="s">
        <v>1031</v>
      </c>
      <c r="C278" s="170" t="s">
        <v>337</v>
      </c>
      <c r="D278" s="242" t="s">
        <v>259</v>
      </c>
      <c r="E278" s="242">
        <v>400</v>
      </c>
      <c r="F278" s="454">
        <f t="shared" si="4"/>
        <v>0.74709101436282477</v>
      </c>
      <c r="G278" s="239">
        <v>535.41</v>
      </c>
      <c r="H278" s="242" t="s">
        <v>131</v>
      </c>
      <c r="I278" s="242" t="s">
        <v>653</v>
      </c>
      <c r="J278" s="170" t="s">
        <v>96</v>
      </c>
      <c r="K278" s="170" t="s">
        <v>345</v>
      </c>
      <c r="L278" s="170" t="s">
        <v>113</v>
      </c>
      <c r="M278" s="75"/>
      <c r="N278" s="75"/>
      <c r="O278" s="75"/>
    </row>
    <row r="279" spans="1:15">
      <c r="A279" s="457">
        <v>46093</v>
      </c>
      <c r="B279" s="242" t="s">
        <v>1041</v>
      </c>
      <c r="C279" s="242" t="s">
        <v>647</v>
      </c>
      <c r="D279" s="242" t="s">
        <v>259</v>
      </c>
      <c r="E279" s="242">
        <v>1650</v>
      </c>
      <c r="F279" s="454">
        <f t="shared" si="4"/>
        <v>3.0817504342466524</v>
      </c>
      <c r="G279" s="239">
        <v>535.41</v>
      </c>
      <c r="H279" s="242" t="s">
        <v>131</v>
      </c>
      <c r="I279" s="242" t="s">
        <v>658</v>
      </c>
      <c r="J279" s="170" t="s">
        <v>96</v>
      </c>
      <c r="K279" s="170" t="s">
        <v>345</v>
      </c>
      <c r="L279" s="170" t="s">
        <v>113</v>
      </c>
      <c r="M279" s="75"/>
      <c r="N279" s="75"/>
      <c r="O279" s="75"/>
    </row>
    <row r="280" spans="1:15">
      <c r="A280" s="457">
        <v>46093</v>
      </c>
      <c r="B280" s="242" t="s">
        <v>1027</v>
      </c>
      <c r="C280" s="170" t="s">
        <v>337</v>
      </c>
      <c r="D280" s="242" t="s">
        <v>259</v>
      </c>
      <c r="E280" s="242">
        <v>500</v>
      </c>
      <c r="F280" s="454">
        <f t="shared" si="4"/>
        <v>0.93386376795353099</v>
      </c>
      <c r="G280" s="239">
        <v>535.41</v>
      </c>
      <c r="H280" s="242" t="s">
        <v>131</v>
      </c>
      <c r="I280" s="242" t="s">
        <v>653</v>
      </c>
      <c r="J280" s="170" t="s">
        <v>96</v>
      </c>
      <c r="K280" s="170" t="s">
        <v>345</v>
      </c>
      <c r="L280" s="170" t="s">
        <v>113</v>
      </c>
      <c r="M280" s="75"/>
      <c r="N280" s="75"/>
      <c r="O280" s="75"/>
    </row>
    <row r="281" spans="1:15">
      <c r="A281" s="457">
        <v>46093</v>
      </c>
      <c r="B281" s="242" t="s">
        <v>1027</v>
      </c>
      <c r="C281" s="170" t="s">
        <v>337</v>
      </c>
      <c r="D281" s="242" t="s">
        <v>259</v>
      </c>
      <c r="E281" s="242">
        <v>400</v>
      </c>
      <c r="F281" s="454">
        <f t="shared" si="4"/>
        <v>0.74709101436282477</v>
      </c>
      <c r="G281" s="239">
        <v>535.41</v>
      </c>
      <c r="H281" s="242" t="s">
        <v>131</v>
      </c>
      <c r="I281" s="242" t="s">
        <v>653</v>
      </c>
      <c r="J281" s="170" t="s">
        <v>96</v>
      </c>
      <c r="K281" s="170" t="s">
        <v>345</v>
      </c>
      <c r="L281" s="170" t="s">
        <v>113</v>
      </c>
      <c r="M281" s="75"/>
      <c r="N281" s="75"/>
      <c r="O281" s="75"/>
    </row>
    <row r="282" spans="1:15">
      <c r="A282" s="457">
        <v>46093</v>
      </c>
      <c r="B282" s="242" t="s">
        <v>1027</v>
      </c>
      <c r="C282" s="170" t="s">
        <v>337</v>
      </c>
      <c r="D282" s="242" t="s">
        <v>259</v>
      </c>
      <c r="E282" s="242">
        <v>500</v>
      </c>
      <c r="F282" s="454">
        <f t="shared" si="4"/>
        <v>0.93386376795353099</v>
      </c>
      <c r="G282" s="239">
        <v>535.41</v>
      </c>
      <c r="H282" s="242" t="s">
        <v>131</v>
      </c>
      <c r="I282" s="242" t="s">
        <v>653</v>
      </c>
      <c r="J282" s="170" t="s">
        <v>96</v>
      </c>
      <c r="K282" s="170" t="s">
        <v>345</v>
      </c>
      <c r="L282" s="170" t="s">
        <v>113</v>
      </c>
      <c r="M282" s="75"/>
      <c r="N282" s="75"/>
      <c r="O282" s="75"/>
    </row>
    <row r="283" spans="1:15">
      <c r="A283" s="453">
        <v>46093</v>
      </c>
      <c r="B283" s="170" t="s">
        <v>462</v>
      </c>
      <c r="C283" s="242" t="s">
        <v>463</v>
      </c>
      <c r="D283" s="242" t="s">
        <v>98</v>
      </c>
      <c r="E283" s="460">
        <v>3390</v>
      </c>
      <c r="F283" s="454">
        <f t="shared" si="4"/>
        <v>6.3315963467249405</v>
      </c>
      <c r="G283" s="239">
        <v>535.41</v>
      </c>
      <c r="H283" s="242" t="s">
        <v>124</v>
      </c>
      <c r="I283" s="170" t="s">
        <v>842</v>
      </c>
      <c r="J283" s="170" t="s">
        <v>96</v>
      </c>
      <c r="K283" s="170" t="s">
        <v>345</v>
      </c>
      <c r="L283" s="170" t="s">
        <v>113</v>
      </c>
      <c r="M283" s="75"/>
      <c r="N283" s="75"/>
      <c r="O283" s="75"/>
    </row>
    <row r="284" spans="1:15">
      <c r="A284" s="453">
        <v>46093</v>
      </c>
      <c r="B284" s="170" t="s">
        <v>805</v>
      </c>
      <c r="C284" s="242" t="s">
        <v>120</v>
      </c>
      <c r="D284" s="242" t="s">
        <v>98</v>
      </c>
      <c r="E284" s="460">
        <v>24000</v>
      </c>
      <c r="F284" s="454">
        <f t="shared" si="4"/>
        <v>44.825460861769486</v>
      </c>
      <c r="G284" s="239">
        <v>535.41</v>
      </c>
      <c r="H284" s="242" t="s">
        <v>124</v>
      </c>
      <c r="I284" s="170" t="s">
        <v>843</v>
      </c>
      <c r="J284" s="170" t="s">
        <v>96</v>
      </c>
      <c r="K284" s="170" t="s">
        <v>345</v>
      </c>
      <c r="L284" s="170" t="s">
        <v>113</v>
      </c>
      <c r="M284" s="75"/>
      <c r="N284" s="75"/>
      <c r="O284" s="75"/>
    </row>
    <row r="285" spans="1:15">
      <c r="A285" s="457">
        <v>46093</v>
      </c>
      <c r="B285" s="242" t="s">
        <v>806</v>
      </c>
      <c r="C285" s="170" t="s">
        <v>337</v>
      </c>
      <c r="D285" s="242" t="s">
        <v>97</v>
      </c>
      <c r="E285" s="242">
        <v>500</v>
      </c>
      <c r="F285" s="454">
        <f t="shared" si="4"/>
        <v>0.93386376795353099</v>
      </c>
      <c r="G285" s="239">
        <v>535.41</v>
      </c>
      <c r="H285" s="242" t="s">
        <v>124</v>
      </c>
      <c r="I285" s="242" t="s">
        <v>836</v>
      </c>
      <c r="J285" s="170" t="s">
        <v>96</v>
      </c>
      <c r="K285" s="170" t="s">
        <v>345</v>
      </c>
      <c r="L285" s="170" t="s">
        <v>113</v>
      </c>
      <c r="M285" s="75"/>
      <c r="N285" s="75"/>
      <c r="O285" s="75"/>
    </row>
    <row r="286" spans="1:15">
      <c r="A286" s="457">
        <v>46093</v>
      </c>
      <c r="B286" s="242" t="s">
        <v>466</v>
      </c>
      <c r="C286" s="170" t="s">
        <v>337</v>
      </c>
      <c r="D286" s="242" t="s">
        <v>97</v>
      </c>
      <c r="E286" s="242">
        <v>500</v>
      </c>
      <c r="F286" s="454">
        <f t="shared" si="4"/>
        <v>0.93386376795353099</v>
      </c>
      <c r="G286" s="239">
        <v>535.41</v>
      </c>
      <c r="H286" s="242" t="s">
        <v>124</v>
      </c>
      <c r="I286" s="242" t="s">
        <v>836</v>
      </c>
      <c r="J286" s="170" t="s">
        <v>96</v>
      </c>
      <c r="K286" s="170" t="s">
        <v>345</v>
      </c>
      <c r="L286" s="170" t="s">
        <v>113</v>
      </c>
      <c r="M286" s="75"/>
      <c r="N286" s="75"/>
      <c r="O286" s="75"/>
    </row>
    <row r="287" spans="1:15">
      <c r="A287" s="457">
        <v>46094</v>
      </c>
      <c r="B287" s="242" t="s">
        <v>362</v>
      </c>
      <c r="C287" s="170" t="s">
        <v>337</v>
      </c>
      <c r="D287" s="458" t="s">
        <v>99</v>
      </c>
      <c r="E287" s="242">
        <v>1000</v>
      </c>
      <c r="F287" s="454">
        <f t="shared" si="4"/>
        <v>1.8677282335885521</v>
      </c>
      <c r="G287" s="239">
        <v>535.40980000000002</v>
      </c>
      <c r="H287" s="459" t="s">
        <v>111</v>
      </c>
      <c r="I287" s="170" t="s">
        <v>380</v>
      </c>
      <c r="J287" s="170" t="s">
        <v>96</v>
      </c>
      <c r="K287" s="170" t="s">
        <v>345</v>
      </c>
      <c r="L287" s="170" t="s">
        <v>113</v>
      </c>
      <c r="M287" s="364"/>
      <c r="N287" s="364"/>
      <c r="O287" s="75"/>
    </row>
    <row r="288" spans="1:15">
      <c r="A288" s="457">
        <v>46094</v>
      </c>
      <c r="B288" s="242" t="s">
        <v>368</v>
      </c>
      <c r="C288" s="170" t="s">
        <v>337</v>
      </c>
      <c r="D288" s="458" t="s">
        <v>99</v>
      </c>
      <c r="E288" s="242">
        <v>1000</v>
      </c>
      <c r="F288" s="454">
        <f t="shared" si="4"/>
        <v>1.8677282335885521</v>
      </c>
      <c r="G288" s="239">
        <v>535.40980000000002</v>
      </c>
      <c r="H288" s="459" t="s">
        <v>111</v>
      </c>
      <c r="I288" s="170" t="s">
        <v>380</v>
      </c>
      <c r="J288" s="170" t="s">
        <v>96</v>
      </c>
      <c r="K288" s="170" t="s">
        <v>345</v>
      </c>
      <c r="L288" s="170" t="s">
        <v>113</v>
      </c>
      <c r="M288" s="364"/>
      <c r="N288" s="364"/>
      <c r="O288" s="75"/>
    </row>
    <row r="289" spans="1:15">
      <c r="A289" s="457">
        <v>46094</v>
      </c>
      <c r="B289" s="242" t="s">
        <v>187</v>
      </c>
      <c r="C289" s="170" t="s">
        <v>337</v>
      </c>
      <c r="D289" s="458" t="s">
        <v>99</v>
      </c>
      <c r="E289" s="242">
        <v>1000</v>
      </c>
      <c r="F289" s="454">
        <f t="shared" si="4"/>
        <v>1.8677282335885521</v>
      </c>
      <c r="G289" s="239">
        <v>535.40980000000002</v>
      </c>
      <c r="H289" s="459" t="s">
        <v>111</v>
      </c>
      <c r="I289" s="170" t="s">
        <v>380</v>
      </c>
      <c r="J289" s="170" t="s">
        <v>96</v>
      </c>
      <c r="K289" s="170" t="s">
        <v>345</v>
      </c>
      <c r="L289" s="170" t="s">
        <v>113</v>
      </c>
      <c r="M289" s="364"/>
      <c r="N289" s="364"/>
      <c r="O289" s="75"/>
    </row>
    <row r="290" spans="1:15">
      <c r="A290" s="428">
        <v>46094</v>
      </c>
      <c r="B290" s="429" t="s">
        <v>1051</v>
      </c>
      <c r="C290" s="429" t="s">
        <v>542</v>
      </c>
      <c r="D290" s="429" t="s">
        <v>259</v>
      </c>
      <c r="E290" s="429">
        <v>30000</v>
      </c>
      <c r="F290" s="454">
        <f t="shared" si="4"/>
        <v>56.031826077211861</v>
      </c>
      <c r="G290" s="239">
        <v>535.41</v>
      </c>
      <c r="H290" s="429" t="s">
        <v>123</v>
      </c>
      <c r="I290" s="429" t="s">
        <v>557</v>
      </c>
      <c r="J290" s="170" t="s">
        <v>96</v>
      </c>
      <c r="K290" s="170" t="s">
        <v>345</v>
      </c>
      <c r="L290" s="170" t="s">
        <v>113</v>
      </c>
      <c r="M290" s="75"/>
      <c r="N290" s="75"/>
      <c r="O290" s="75"/>
    </row>
    <row r="291" spans="1:15">
      <c r="A291" s="428">
        <v>46094</v>
      </c>
      <c r="B291" s="429" t="s">
        <v>1043</v>
      </c>
      <c r="C291" s="242" t="s">
        <v>402</v>
      </c>
      <c r="D291" s="429" t="s">
        <v>259</v>
      </c>
      <c r="E291" s="429">
        <v>3500</v>
      </c>
      <c r="F291" s="454">
        <f t="shared" si="4"/>
        <v>6.5370463756747172</v>
      </c>
      <c r="G291" s="239">
        <v>535.41</v>
      </c>
      <c r="H291" s="429" t="s">
        <v>123</v>
      </c>
      <c r="I291" s="429" t="s">
        <v>558</v>
      </c>
      <c r="J291" s="170" t="s">
        <v>96</v>
      </c>
      <c r="K291" s="170" t="s">
        <v>345</v>
      </c>
      <c r="L291" s="170" t="s">
        <v>113</v>
      </c>
      <c r="M291" s="75"/>
      <c r="N291" s="75"/>
      <c r="O291" s="75"/>
    </row>
    <row r="292" spans="1:15">
      <c r="A292" s="428">
        <v>46094</v>
      </c>
      <c r="B292" s="429" t="s">
        <v>1033</v>
      </c>
      <c r="C292" s="170" t="s">
        <v>337</v>
      </c>
      <c r="D292" s="429" t="s">
        <v>259</v>
      </c>
      <c r="E292" s="429">
        <v>1000</v>
      </c>
      <c r="F292" s="454">
        <f t="shared" si="4"/>
        <v>1.867727535907062</v>
      </c>
      <c r="G292" s="239">
        <v>535.41</v>
      </c>
      <c r="H292" s="429" t="s">
        <v>123</v>
      </c>
      <c r="I292" s="429" t="s">
        <v>550</v>
      </c>
      <c r="J292" s="170" t="s">
        <v>96</v>
      </c>
      <c r="K292" s="170" t="s">
        <v>345</v>
      </c>
      <c r="L292" s="170" t="s">
        <v>113</v>
      </c>
      <c r="M292" s="75"/>
      <c r="N292" s="75"/>
      <c r="O292" s="75"/>
    </row>
    <row r="293" spans="1:15">
      <c r="A293" s="428">
        <v>46094</v>
      </c>
      <c r="B293" s="429" t="s">
        <v>1053</v>
      </c>
      <c r="C293" s="170" t="s">
        <v>337</v>
      </c>
      <c r="D293" s="429" t="s">
        <v>259</v>
      </c>
      <c r="E293" s="429">
        <v>500</v>
      </c>
      <c r="F293" s="454">
        <f t="shared" si="4"/>
        <v>0.93386376795353099</v>
      </c>
      <c r="G293" s="239">
        <v>535.41</v>
      </c>
      <c r="H293" s="429" t="s">
        <v>123</v>
      </c>
      <c r="I293" s="429" t="s">
        <v>550</v>
      </c>
      <c r="J293" s="170" t="s">
        <v>96</v>
      </c>
      <c r="K293" s="170" t="s">
        <v>345</v>
      </c>
      <c r="L293" s="170" t="s">
        <v>113</v>
      </c>
      <c r="M293" s="75"/>
      <c r="N293" s="75"/>
      <c r="O293" s="75"/>
    </row>
    <row r="294" spans="1:15">
      <c r="A294" s="428">
        <v>46094</v>
      </c>
      <c r="B294" s="429" t="s">
        <v>1053</v>
      </c>
      <c r="C294" s="170" t="s">
        <v>337</v>
      </c>
      <c r="D294" s="429" t="s">
        <v>259</v>
      </c>
      <c r="E294" s="429">
        <v>500</v>
      </c>
      <c r="F294" s="454">
        <f t="shared" si="4"/>
        <v>0.93386376795353099</v>
      </c>
      <c r="G294" s="239">
        <v>535.41</v>
      </c>
      <c r="H294" s="429" t="s">
        <v>123</v>
      </c>
      <c r="I294" s="429" t="s">
        <v>550</v>
      </c>
      <c r="J294" s="170" t="s">
        <v>96</v>
      </c>
      <c r="K294" s="170" t="s">
        <v>345</v>
      </c>
      <c r="L294" s="170" t="s">
        <v>113</v>
      </c>
      <c r="M294" s="75"/>
      <c r="N294" s="75"/>
      <c r="O294" s="75"/>
    </row>
    <row r="295" spans="1:15">
      <c r="A295" s="428">
        <v>46094</v>
      </c>
      <c r="B295" s="429" t="s">
        <v>1053</v>
      </c>
      <c r="C295" s="170" t="s">
        <v>337</v>
      </c>
      <c r="D295" s="429" t="s">
        <v>259</v>
      </c>
      <c r="E295" s="429">
        <v>500</v>
      </c>
      <c r="F295" s="454">
        <f t="shared" si="4"/>
        <v>0.93386376795353099</v>
      </c>
      <c r="G295" s="239">
        <v>535.41</v>
      </c>
      <c r="H295" s="429" t="s">
        <v>123</v>
      </c>
      <c r="I295" s="429" t="s">
        <v>550</v>
      </c>
      <c r="J295" s="170" t="s">
        <v>96</v>
      </c>
      <c r="K295" s="170" t="s">
        <v>345</v>
      </c>
      <c r="L295" s="170" t="s">
        <v>113</v>
      </c>
      <c r="M295" s="75"/>
      <c r="N295" s="75"/>
      <c r="O295" s="75"/>
    </row>
    <row r="296" spans="1:15">
      <c r="A296" s="428">
        <v>46094</v>
      </c>
      <c r="B296" s="429" t="s">
        <v>1053</v>
      </c>
      <c r="C296" s="170" t="s">
        <v>337</v>
      </c>
      <c r="D296" s="429" t="s">
        <v>259</v>
      </c>
      <c r="E296" s="429">
        <v>500</v>
      </c>
      <c r="F296" s="454">
        <f t="shared" si="4"/>
        <v>0.93386376795353099</v>
      </c>
      <c r="G296" s="239">
        <v>535.41</v>
      </c>
      <c r="H296" s="429" t="s">
        <v>123</v>
      </c>
      <c r="I296" s="429" t="s">
        <v>550</v>
      </c>
      <c r="J296" s="170" t="s">
        <v>96</v>
      </c>
      <c r="K296" s="170" t="s">
        <v>345</v>
      </c>
      <c r="L296" s="170" t="s">
        <v>113</v>
      </c>
      <c r="M296" s="75"/>
      <c r="N296" s="75"/>
      <c r="O296" s="75"/>
    </row>
    <row r="297" spans="1:15">
      <c r="A297" s="428">
        <v>46094</v>
      </c>
      <c r="B297" s="429" t="s">
        <v>540</v>
      </c>
      <c r="C297" s="429" t="s">
        <v>541</v>
      </c>
      <c r="D297" s="429" t="s">
        <v>259</v>
      </c>
      <c r="E297" s="429">
        <v>2000</v>
      </c>
      <c r="F297" s="454">
        <f t="shared" si="4"/>
        <v>3.735455071814124</v>
      </c>
      <c r="G297" s="239">
        <v>535.41</v>
      </c>
      <c r="H297" s="429" t="s">
        <v>123</v>
      </c>
      <c r="I297" s="429" t="s">
        <v>551</v>
      </c>
      <c r="J297" s="170" t="s">
        <v>96</v>
      </c>
      <c r="K297" s="170" t="s">
        <v>345</v>
      </c>
      <c r="L297" s="170" t="s">
        <v>113</v>
      </c>
      <c r="M297" s="75"/>
      <c r="N297" s="75"/>
      <c r="O297" s="75"/>
    </row>
    <row r="298" spans="1:15">
      <c r="A298" s="457">
        <v>46094</v>
      </c>
      <c r="B298" s="242" t="s">
        <v>1027</v>
      </c>
      <c r="C298" s="170" t="s">
        <v>337</v>
      </c>
      <c r="D298" s="242" t="s">
        <v>259</v>
      </c>
      <c r="E298" s="242">
        <v>500</v>
      </c>
      <c r="F298" s="454">
        <f t="shared" si="4"/>
        <v>0.93386376795353099</v>
      </c>
      <c r="G298" s="239">
        <v>535.41</v>
      </c>
      <c r="H298" s="242" t="s">
        <v>122</v>
      </c>
      <c r="I298" s="242" t="s">
        <v>594</v>
      </c>
      <c r="J298" s="170" t="s">
        <v>96</v>
      </c>
      <c r="K298" s="170" t="s">
        <v>345</v>
      </c>
      <c r="L298" s="170" t="s">
        <v>113</v>
      </c>
      <c r="M298" s="75"/>
      <c r="N298" s="75"/>
      <c r="O298" s="75"/>
    </row>
    <row r="299" spans="1:15">
      <c r="A299" s="457">
        <v>46094</v>
      </c>
      <c r="B299" s="242" t="s">
        <v>1027</v>
      </c>
      <c r="C299" s="170" t="s">
        <v>337</v>
      </c>
      <c r="D299" s="242" t="s">
        <v>259</v>
      </c>
      <c r="E299" s="242">
        <v>500</v>
      </c>
      <c r="F299" s="454">
        <f t="shared" si="4"/>
        <v>0.93386376795353099</v>
      </c>
      <c r="G299" s="239">
        <v>535.41</v>
      </c>
      <c r="H299" s="242" t="s">
        <v>122</v>
      </c>
      <c r="I299" s="242" t="s">
        <v>594</v>
      </c>
      <c r="J299" s="170" t="s">
        <v>96</v>
      </c>
      <c r="K299" s="170" t="s">
        <v>345</v>
      </c>
      <c r="L299" s="170" t="s">
        <v>113</v>
      </c>
      <c r="M299" s="75"/>
      <c r="N299" s="75"/>
      <c r="O299" s="75"/>
    </row>
    <row r="300" spans="1:15">
      <c r="A300" s="457">
        <v>46094</v>
      </c>
      <c r="B300" s="242" t="s">
        <v>1027</v>
      </c>
      <c r="C300" s="170" t="s">
        <v>337</v>
      </c>
      <c r="D300" s="242" t="s">
        <v>259</v>
      </c>
      <c r="E300" s="242">
        <v>500</v>
      </c>
      <c r="F300" s="454">
        <f t="shared" si="4"/>
        <v>0.93386376795353099</v>
      </c>
      <c r="G300" s="239">
        <v>535.41</v>
      </c>
      <c r="H300" s="242" t="s">
        <v>122</v>
      </c>
      <c r="I300" s="242" t="s">
        <v>594</v>
      </c>
      <c r="J300" s="170" t="s">
        <v>96</v>
      </c>
      <c r="K300" s="170" t="s">
        <v>345</v>
      </c>
      <c r="L300" s="170" t="s">
        <v>113</v>
      </c>
      <c r="M300" s="75"/>
      <c r="N300" s="75"/>
      <c r="O300" s="75"/>
    </row>
    <row r="301" spans="1:15">
      <c r="A301" s="457">
        <v>46094</v>
      </c>
      <c r="B301" s="242" t="s">
        <v>1027</v>
      </c>
      <c r="C301" s="170" t="s">
        <v>337</v>
      </c>
      <c r="D301" s="242" t="s">
        <v>259</v>
      </c>
      <c r="E301" s="242">
        <v>500</v>
      </c>
      <c r="F301" s="454">
        <f t="shared" si="4"/>
        <v>0.93386376795353099</v>
      </c>
      <c r="G301" s="239">
        <v>535.41</v>
      </c>
      <c r="H301" s="242" t="s">
        <v>122</v>
      </c>
      <c r="I301" s="242" t="s">
        <v>594</v>
      </c>
      <c r="J301" s="170" t="s">
        <v>96</v>
      </c>
      <c r="K301" s="170" t="s">
        <v>345</v>
      </c>
      <c r="L301" s="170" t="s">
        <v>113</v>
      </c>
      <c r="M301" s="75"/>
      <c r="N301" s="75"/>
      <c r="O301" s="75"/>
    </row>
    <row r="302" spans="1:15">
      <c r="A302" s="457">
        <v>46094</v>
      </c>
      <c r="B302" s="242" t="s">
        <v>1027</v>
      </c>
      <c r="C302" s="170" t="s">
        <v>337</v>
      </c>
      <c r="D302" s="242" t="s">
        <v>259</v>
      </c>
      <c r="E302" s="242">
        <v>500</v>
      </c>
      <c r="F302" s="454">
        <f t="shared" si="4"/>
        <v>0.93386376795353099</v>
      </c>
      <c r="G302" s="239">
        <v>535.41</v>
      </c>
      <c r="H302" s="242" t="s">
        <v>122</v>
      </c>
      <c r="I302" s="242" t="s">
        <v>594</v>
      </c>
      <c r="J302" s="170" t="s">
        <v>96</v>
      </c>
      <c r="K302" s="170" t="s">
        <v>345</v>
      </c>
      <c r="L302" s="170" t="s">
        <v>113</v>
      </c>
      <c r="M302" s="75"/>
      <c r="N302" s="75"/>
      <c r="O302" s="75"/>
    </row>
    <row r="303" spans="1:15">
      <c r="A303" s="457">
        <v>46094</v>
      </c>
      <c r="B303" s="170" t="s">
        <v>1034</v>
      </c>
      <c r="C303" s="242" t="s">
        <v>406</v>
      </c>
      <c r="D303" s="242" t="s">
        <v>259</v>
      </c>
      <c r="E303" s="242">
        <v>10000</v>
      </c>
      <c r="F303" s="454">
        <f t="shared" si="4"/>
        <v>18.67727535907062</v>
      </c>
      <c r="G303" s="239">
        <v>535.41</v>
      </c>
      <c r="H303" s="242" t="s">
        <v>122</v>
      </c>
      <c r="I303" s="242" t="s">
        <v>611</v>
      </c>
      <c r="J303" s="170" t="s">
        <v>96</v>
      </c>
      <c r="K303" s="170" t="s">
        <v>345</v>
      </c>
      <c r="L303" s="170" t="s">
        <v>113</v>
      </c>
      <c r="M303" s="75"/>
      <c r="N303" s="75"/>
      <c r="O303" s="75"/>
    </row>
    <row r="304" spans="1:15">
      <c r="A304" s="457">
        <v>46094</v>
      </c>
      <c r="B304" s="242" t="s">
        <v>1035</v>
      </c>
      <c r="C304" s="242" t="s">
        <v>402</v>
      </c>
      <c r="D304" s="242" t="s">
        <v>259</v>
      </c>
      <c r="E304" s="242">
        <v>10000</v>
      </c>
      <c r="F304" s="454">
        <f t="shared" si="4"/>
        <v>18.67727535907062</v>
      </c>
      <c r="G304" s="239">
        <v>535.41</v>
      </c>
      <c r="H304" s="242" t="s">
        <v>122</v>
      </c>
      <c r="I304" s="242" t="s">
        <v>612</v>
      </c>
      <c r="J304" s="170" t="s">
        <v>96</v>
      </c>
      <c r="K304" s="170" t="s">
        <v>345</v>
      </c>
      <c r="L304" s="170" t="s">
        <v>113</v>
      </c>
      <c r="M304" s="75"/>
      <c r="N304" s="75"/>
      <c r="O304" s="75"/>
    </row>
    <row r="305" spans="1:15">
      <c r="A305" s="453">
        <v>46094</v>
      </c>
      <c r="B305" s="170" t="s">
        <v>1055</v>
      </c>
      <c r="C305" s="170" t="s">
        <v>542</v>
      </c>
      <c r="D305" s="170" t="s">
        <v>259</v>
      </c>
      <c r="E305" s="170">
        <v>30000</v>
      </c>
      <c r="F305" s="454">
        <f t="shared" si="4"/>
        <v>56.031826077211861</v>
      </c>
      <c r="G305" s="239">
        <v>535.41</v>
      </c>
      <c r="H305" s="170" t="s">
        <v>131</v>
      </c>
      <c r="I305" s="170" t="s">
        <v>669</v>
      </c>
      <c r="J305" s="170" t="s">
        <v>96</v>
      </c>
      <c r="K305" s="170" t="s">
        <v>345</v>
      </c>
      <c r="L305" s="170" t="s">
        <v>113</v>
      </c>
      <c r="M305" s="75"/>
      <c r="N305" s="75"/>
      <c r="O305" s="75"/>
    </row>
    <row r="306" spans="1:15">
      <c r="A306" s="457">
        <v>46094</v>
      </c>
      <c r="B306" s="242" t="s">
        <v>1027</v>
      </c>
      <c r="C306" s="170" t="s">
        <v>337</v>
      </c>
      <c r="D306" s="242" t="s">
        <v>259</v>
      </c>
      <c r="E306" s="242">
        <v>500</v>
      </c>
      <c r="F306" s="454">
        <f t="shared" si="4"/>
        <v>0.93386376795353099</v>
      </c>
      <c r="G306" s="239">
        <v>535.41</v>
      </c>
      <c r="H306" s="242" t="s">
        <v>131</v>
      </c>
      <c r="I306" s="242" t="s">
        <v>653</v>
      </c>
      <c r="J306" s="170" t="s">
        <v>96</v>
      </c>
      <c r="K306" s="170" t="s">
        <v>345</v>
      </c>
      <c r="L306" s="170" t="s">
        <v>113</v>
      </c>
      <c r="M306" s="75"/>
      <c r="N306" s="75"/>
      <c r="O306" s="75"/>
    </row>
    <row r="307" spans="1:15">
      <c r="A307" s="453">
        <v>46094</v>
      </c>
      <c r="B307" s="170" t="s">
        <v>1028</v>
      </c>
      <c r="C307" s="242" t="s">
        <v>402</v>
      </c>
      <c r="D307" s="170" t="s">
        <v>259</v>
      </c>
      <c r="E307" s="170">
        <v>9000</v>
      </c>
      <c r="F307" s="454">
        <f t="shared" si="4"/>
        <v>16.809547823163559</v>
      </c>
      <c r="G307" s="239">
        <v>535.41</v>
      </c>
      <c r="H307" s="170" t="s">
        <v>131</v>
      </c>
      <c r="I307" s="170" t="s">
        <v>670</v>
      </c>
      <c r="J307" s="170" t="s">
        <v>96</v>
      </c>
      <c r="K307" s="170" t="s">
        <v>345</v>
      </c>
      <c r="L307" s="170" t="s">
        <v>113</v>
      </c>
      <c r="M307" s="75"/>
      <c r="N307" s="75"/>
      <c r="O307" s="75"/>
    </row>
    <row r="308" spans="1:15">
      <c r="A308" s="457">
        <v>46094</v>
      </c>
      <c r="B308" s="242" t="s">
        <v>1027</v>
      </c>
      <c r="C308" s="170" t="s">
        <v>337</v>
      </c>
      <c r="D308" s="242" t="s">
        <v>259</v>
      </c>
      <c r="E308" s="242">
        <v>500</v>
      </c>
      <c r="F308" s="454">
        <f t="shared" si="4"/>
        <v>0.93386376795353099</v>
      </c>
      <c r="G308" s="239">
        <v>535.41</v>
      </c>
      <c r="H308" s="242" t="s">
        <v>131</v>
      </c>
      <c r="I308" s="242" t="s">
        <v>653</v>
      </c>
      <c r="J308" s="170" t="s">
        <v>96</v>
      </c>
      <c r="K308" s="170" t="s">
        <v>345</v>
      </c>
      <c r="L308" s="170" t="s">
        <v>113</v>
      </c>
      <c r="M308" s="75"/>
      <c r="N308" s="75"/>
      <c r="O308" s="75"/>
    </row>
    <row r="309" spans="1:15">
      <c r="A309" s="453">
        <v>46094</v>
      </c>
      <c r="B309" s="170" t="s">
        <v>747</v>
      </c>
      <c r="C309" s="170" t="s">
        <v>748</v>
      </c>
      <c r="D309" s="469" t="s">
        <v>100</v>
      </c>
      <c r="E309" s="460">
        <v>6000</v>
      </c>
      <c r="F309" s="454">
        <f t="shared" si="4"/>
        <v>11.206365215442371</v>
      </c>
      <c r="G309" s="239">
        <v>535.41</v>
      </c>
      <c r="H309" s="242" t="s">
        <v>129</v>
      </c>
      <c r="I309" s="242" t="s">
        <v>789</v>
      </c>
      <c r="J309" s="170" t="s">
        <v>96</v>
      </c>
      <c r="K309" s="170" t="s">
        <v>345</v>
      </c>
      <c r="L309" s="170" t="s">
        <v>113</v>
      </c>
      <c r="M309" s="75"/>
      <c r="N309" s="75"/>
      <c r="O309" s="75"/>
    </row>
    <row r="310" spans="1:15">
      <c r="A310" s="453">
        <v>46094</v>
      </c>
      <c r="B310" s="170" t="s">
        <v>749</v>
      </c>
      <c r="C310" s="170" t="s">
        <v>748</v>
      </c>
      <c r="D310" s="469" t="s">
        <v>100</v>
      </c>
      <c r="E310" s="460">
        <v>6000</v>
      </c>
      <c r="F310" s="454">
        <f t="shared" si="4"/>
        <v>11.206365215442371</v>
      </c>
      <c r="G310" s="239">
        <v>535.41</v>
      </c>
      <c r="H310" s="242" t="s">
        <v>129</v>
      </c>
      <c r="I310" s="242" t="s">
        <v>789</v>
      </c>
      <c r="J310" s="170" t="s">
        <v>96</v>
      </c>
      <c r="K310" s="170" t="s">
        <v>345</v>
      </c>
      <c r="L310" s="170" t="s">
        <v>113</v>
      </c>
      <c r="M310" s="75"/>
      <c r="N310" s="75"/>
      <c r="O310" s="75"/>
    </row>
    <row r="311" spans="1:15">
      <c r="A311" s="453">
        <v>46094</v>
      </c>
      <c r="B311" s="170" t="s">
        <v>750</v>
      </c>
      <c r="C311" s="170" t="s">
        <v>748</v>
      </c>
      <c r="D311" s="469" t="s">
        <v>100</v>
      </c>
      <c r="E311" s="460">
        <v>6000</v>
      </c>
      <c r="F311" s="454">
        <f t="shared" si="4"/>
        <v>11.206365215442371</v>
      </c>
      <c r="G311" s="239">
        <v>535.41</v>
      </c>
      <c r="H311" s="242" t="s">
        <v>129</v>
      </c>
      <c r="I311" s="242" t="s">
        <v>789</v>
      </c>
      <c r="J311" s="170" t="s">
        <v>96</v>
      </c>
      <c r="K311" s="170" t="s">
        <v>345</v>
      </c>
      <c r="L311" s="170" t="s">
        <v>113</v>
      </c>
      <c r="M311" s="75"/>
      <c r="N311" s="75"/>
      <c r="O311" s="75"/>
    </row>
    <row r="312" spans="1:15">
      <c r="A312" s="453">
        <v>46094</v>
      </c>
      <c r="B312" s="170" t="s">
        <v>751</v>
      </c>
      <c r="C312" s="170" t="s">
        <v>748</v>
      </c>
      <c r="D312" s="469" t="s">
        <v>100</v>
      </c>
      <c r="E312" s="460">
        <v>6000</v>
      </c>
      <c r="F312" s="454">
        <f t="shared" si="4"/>
        <v>11.206365215442371</v>
      </c>
      <c r="G312" s="239">
        <v>535.41</v>
      </c>
      <c r="H312" s="242" t="s">
        <v>129</v>
      </c>
      <c r="I312" s="242" t="s">
        <v>789</v>
      </c>
      <c r="J312" s="170" t="s">
        <v>96</v>
      </c>
      <c r="K312" s="170" t="s">
        <v>345</v>
      </c>
      <c r="L312" s="170" t="s">
        <v>113</v>
      </c>
      <c r="M312" s="75"/>
      <c r="N312" s="75"/>
      <c r="O312" s="75"/>
    </row>
    <row r="313" spans="1:15">
      <c r="A313" s="453">
        <v>46094</v>
      </c>
      <c r="B313" s="170" t="s">
        <v>752</v>
      </c>
      <c r="C313" s="170" t="s">
        <v>748</v>
      </c>
      <c r="D313" s="469" t="s">
        <v>100</v>
      </c>
      <c r="E313" s="460">
        <v>6000</v>
      </c>
      <c r="F313" s="454">
        <f t="shared" si="4"/>
        <v>11.206365215442371</v>
      </c>
      <c r="G313" s="239">
        <v>535.41</v>
      </c>
      <c r="H313" s="242" t="s">
        <v>129</v>
      </c>
      <c r="I313" s="242" t="s">
        <v>789</v>
      </c>
      <c r="J313" s="170" t="s">
        <v>96</v>
      </c>
      <c r="K313" s="170" t="s">
        <v>345</v>
      </c>
      <c r="L313" s="170" t="s">
        <v>113</v>
      </c>
      <c r="M313" s="75"/>
      <c r="N313" s="75"/>
      <c r="O313" s="75"/>
    </row>
    <row r="314" spans="1:15">
      <c r="A314" s="453">
        <v>46094</v>
      </c>
      <c r="B314" s="170" t="s">
        <v>753</v>
      </c>
      <c r="C314" s="170" t="s">
        <v>748</v>
      </c>
      <c r="D314" s="469" t="s">
        <v>100</v>
      </c>
      <c r="E314" s="460">
        <v>6000</v>
      </c>
      <c r="F314" s="454">
        <f t="shared" si="4"/>
        <v>11.206365215442371</v>
      </c>
      <c r="G314" s="239">
        <v>535.41</v>
      </c>
      <c r="H314" s="242" t="s">
        <v>129</v>
      </c>
      <c r="I314" s="242" t="s">
        <v>789</v>
      </c>
      <c r="J314" s="170" t="s">
        <v>96</v>
      </c>
      <c r="K314" s="170" t="s">
        <v>345</v>
      </c>
      <c r="L314" s="170" t="s">
        <v>113</v>
      </c>
      <c r="M314" s="75"/>
      <c r="N314" s="75"/>
      <c r="O314" s="75"/>
    </row>
    <row r="315" spans="1:15">
      <c r="A315" s="453">
        <v>46094</v>
      </c>
      <c r="B315" s="170" t="s">
        <v>754</v>
      </c>
      <c r="C315" s="170" t="s">
        <v>748</v>
      </c>
      <c r="D315" s="469" t="s">
        <v>100</v>
      </c>
      <c r="E315" s="460">
        <v>6000</v>
      </c>
      <c r="F315" s="454">
        <f t="shared" si="4"/>
        <v>11.206365215442371</v>
      </c>
      <c r="G315" s="239">
        <v>535.41</v>
      </c>
      <c r="H315" s="242" t="s">
        <v>129</v>
      </c>
      <c r="I315" s="242" t="s">
        <v>789</v>
      </c>
      <c r="J315" s="170" t="s">
        <v>96</v>
      </c>
      <c r="K315" s="170" t="s">
        <v>345</v>
      </c>
      <c r="L315" s="170" t="s">
        <v>113</v>
      </c>
      <c r="M315" s="75"/>
      <c r="N315" s="75"/>
      <c r="O315" s="75"/>
    </row>
    <row r="316" spans="1:15">
      <c r="A316" s="453">
        <v>46094</v>
      </c>
      <c r="B316" s="170" t="s">
        <v>755</v>
      </c>
      <c r="C316" s="170" t="s">
        <v>748</v>
      </c>
      <c r="D316" s="469" t="s">
        <v>100</v>
      </c>
      <c r="E316" s="460">
        <v>6000</v>
      </c>
      <c r="F316" s="454">
        <f t="shared" si="4"/>
        <v>11.206365215442371</v>
      </c>
      <c r="G316" s="239">
        <v>535.41</v>
      </c>
      <c r="H316" s="242" t="s">
        <v>129</v>
      </c>
      <c r="I316" s="242" t="s">
        <v>789</v>
      </c>
      <c r="J316" s="170" t="s">
        <v>96</v>
      </c>
      <c r="K316" s="170" t="s">
        <v>345</v>
      </c>
      <c r="L316" s="170" t="s">
        <v>113</v>
      </c>
      <c r="M316" s="75"/>
      <c r="N316" s="75"/>
      <c r="O316" s="75"/>
    </row>
    <row r="317" spans="1:15">
      <c r="A317" s="453">
        <v>46094</v>
      </c>
      <c r="B317" s="170" t="s">
        <v>756</v>
      </c>
      <c r="C317" s="170" t="s">
        <v>748</v>
      </c>
      <c r="D317" s="469" t="s">
        <v>100</v>
      </c>
      <c r="E317" s="460">
        <v>6000</v>
      </c>
      <c r="F317" s="454">
        <f t="shared" si="4"/>
        <v>11.206365215442371</v>
      </c>
      <c r="G317" s="239">
        <v>535.41</v>
      </c>
      <c r="H317" s="242" t="s">
        <v>129</v>
      </c>
      <c r="I317" s="242" t="s">
        <v>789</v>
      </c>
      <c r="J317" s="170" t="s">
        <v>96</v>
      </c>
      <c r="K317" s="170" t="s">
        <v>345</v>
      </c>
      <c r="L317" s="170" t="s">
        <v>113</v>
      </c>
      <c r="M317" s="75"/>
      <c r="N317" s="75"/>
      <c r="O317" s="75"/>
    </row>
    <row r="318" spans="1:15">
      <c r="A318" s="453">
        <v>46094</v>
      </c>
      <c r="B318" s="170" t="s">
        <v>757</v>
      </c>
      <c r="C318" s="170" t="s">
        <v>748</v>
      </c>
      <c r="D318" s="469" t="s">
        <v>100</v>
      </c>
      <c r="E318" s="460">
        <v>6000</v>
      </c>
      <c r="F318" s="454">
        <f t="shared" si="4"/>
        <v>11.206365215442371</v>
      </c>
      <c r="G318" s="239">
        <v>535.41</v>
      </c>
      <c r="H318" s="242" t="s">
        <v>129</v>
      </c>
      <c r="I318" s="242" t="s">
        <v>789</v>
      </c>
      <c r="J318" s="170" t="s">
        <v>96</v>
      </c>
      <c r="K318" s="170" t="s">
        <v>345</v>
      </c>
      <c r="L318" s="170" t="s">
        <v>113</v>
      </c>
      <c r="M318" s="75"/>
      <c r="N318" s="75"/>
      <c r="O318" s="75"/>
    </row>
    <row r="319" spans="1:15">
      <c r="A319" s="453">
        <v>46094</v>
      </c>
      <c r="B319" s="170" t="s">
        <v>758</v>
      </c>
      <c r="C319" s="170" t="s">
        <v>748</v>
      </c>
      <c r="D319" s="469" t="s">
        <v>100</v>
      </c>
      <c r="E319" s="460">
        <v>6000</v>
      </c>
      <c r="F319" s="454">
        <f t="shared" si="4"/>
        <v>11.206365215442371</v>
      </c>
      <c r="G319" s="239">
        <v>535.41</v>
      </c>
      <c r="H319" s="242" t="s">
        <v>129</v>
      </c>
      <c r="I319" s="242" t="s">
        <v>789</v>
      </c>
      <c r="J319" s="170" t="s">
        <v>96</v>
      </c>
      <c r="K319" s="170" t="s">
        <v>345</v>
      </c>
      <c r="L319" s="170" t="s">
        <v>113</v>
      </c>
      <c r="M319" s="75"/>
      <c r="N319" s="75"/>
      <c r="O319" s="75"/>
    </row>
    <row r="320" spans="1:15">
      <c r="A320" s="453">
        <v>46094</v>
      </c>
      <c r="B320" s="170" t="s">
        <v>759</v>
      </c>
      <c r="C320" s="170" t="s">
        <v>748</v>
      </c>
      <c r="D320" s="469" t="s">
        <v>100</v>
      </c>
      <c r="E320" s="460">
        <v>6000</v>
      </c>
      <c r="F320" s="454">
        <f t="shared" si="4"/>
        <v>11.206365215442371</v>
      </c>
      <c r="G320" s="239">
        <v>535.41</v>
      </c>
      <c r="H320" s="242" t="s">
        <v>129</v>
      </c>
      <c r="I320" s="242" t="s">
        <v>789</v>
      </c>
      <c r="J320" s="170" t="s">
        <v>96</v>
      </c>
      <c r="K320" s="170" t="s">
        <v>345</v>
      </c>
      <c r="L320" s="170" t="s">
        <v>113</v>
      </c>
      <c r="M320" s="75"/>
      <c r="N320" s="75"/>
      <c r="O320" s="75"/>
    </row>
    <row r="321" spans="1:15">
      <c r="A321" s="453">
        <v>46094</v>
      </c>
      <c r="B321" s="170" t="s">
        <v>760</v>
      </c>
      <c r="C321" s="170" t="s">
        <v>748</v>
      </c>
      <c r="D321" s="469" t="s">
        <v>100</v>
      </c>
      <c r="E321" s="460">
        <v>6000</v>
      </c>
      <c r="F321" s="454">
        <f t="shared" si="4"/>
        <v>11.206365215442371</v>
      </c>
      <c r="G321" s="239">
        <v>535.41</v>
      </c>
      <c r="H321" s="242" t="s">
        <v>129</v>
      </c>
      <c r="I321" s="242" t="s">
        <v>789</v>
      </c>
      <c r="J321" s="170" t="s">
        <v>96</v>
      </c>
      <c r="K321" s="170" t="s">
        <v>345</v>
      </c>
      <c r="L321" s="170" t="s">
        <v>113</v>
      </c>
      <c r="M321" s="75"/>
      <c r="N321" s="75"/>
      <c r="O321" s="75"/>
    </row>
    <row r="322" spans="1:15">
      <c r="A322" s="453">
        <v>46094</v>
      </c>
      <c r="B322" s="170" t="s">
        <v>761</v>
      </c>
      <c r="C322" s="170" t="s">
        <v>748</v>
      </c>
      <c r="D322" s="469" t="s">
        <v>100</v>
      </c>
      <c r="E322" s="460">
        <v>6000</v>
      </c>
      <c r="F322" s="454">
        <f t="shared" ref="F322:F385" si="5">E322/G322</f>
        <v>11.206365215442371</v>
      </c>
      <c r="G322" s="239">
        <v>535.41</v>
      </c>
      <c r="H322" s="242" t="s">
        <v>129</v>
      </c>
      <c r="I322" s="242" t="s">
        <v>789</v>
      </c>
      <c r="J322" s="170" t="s">
        <v>96</v>
      </c>
      <c r="K322" s="170" t="s">
        <v>345</v>
      </c>
      <c r="L322" s="170" t="s">
        <v>113</v>
      </c>
      <c r="M322" s="75"/>
      <c r="N322" s="75"/>
      <c r="O322" s="75"/>
    </row>
    <row r="323" spans="1:15">
      <c r="A323" s="453">
        <v>46094</v>
      </c>
      <c r="B323" s="170" t="s">
        <v>762</v>
      </c>
      <c r="C323" s="170" t="s">
        <v>748</v>
      </c>
      <c r="D323" s="469" t="s">
        <v>100</v>
      </c>
      <c r="E323" s="460">
        <v>10000</v>
      </c>
      <c r="F323" s="454">
        <f t="shared" si="5"/>
        <v>18.67727535907062</v>
      </c>
      <c r="G323" s="239">
        <v>535.41</v>
      </c>
      <c r="H323" s="242" t="s">
        <v>129</v>
      </c>
      <c r="I323" s="242" t="s">
        <v>790</v>
      </c>
      <c r="J323" s="170" t="s">
        <v>96</v>
      </c>
      <c r="K323" s="170" t="s">
        <v>345</v>
      </c>
      <c r="L323" s="170" t="s">
        <v>113</v>
      </c>
      <c r="M323" s="75"/>
      <c r="N323" s="75"/>
      <c r="O323" s="75"/>
    </row>
    <row r="324" spans="1:15">
      <c r="A324" s="453">
        <v>46094</v>
      </c>
      <c r="B324" s="170" t="s">
        <v>763</v>
      </c>
      <c r="C324" s="170" t="s">
        <v>748</v>
      </c>
      <c r="D324" s="469" t="s">
        <v>100</v>
      </c>
      <c r="E324" s="460">
        <v>10000</v>
      </c>
      <c r="F324" s="454">
        <f t="shared" si="5"/>
        <v>18.67727535907062</v>
      </c>
      <c r="G324" s="239">
        <v>535.41</v>
      </c>
      <c r="H324" s="242" t="s">
        <v>129</v>
      </c>
      <c r="I324" s="242" t="s">
        <v>790</v>
      </c>
      <c r="J324" s="170" t="s">
        <v>96</v>
      </c>
      <c r="K324" s="170" t="s">
        <v>345</v>
      </c>
      <c r="L324" s="170" t="s">
        <v>113</v>
      </c>
      <c r="M324" s="75"/>
      <c r="N324" s="75"/>
      <c r="O324" s="75"/>
    </row>
    <row r="325" spans="1:15">
      <c r="A325" s="453">
        <v>46094</v>
      </c>
      <c r="B325" s="170" t="s">
        <v>764</v>
      </c>
      <c r="C325" s="170" t="s">
        <v>748</v>
      </c>
      <c r="D325" s="469" t="s">
        <v>100</v>
      </c>
      <c r="E325" s="460">
        <v>10000</v>
      </c>
      <c r="F325" s="454">
        <f t="shared" si="5"/>
        <v>18.67727535907062</v>
      </c>
      <c r="G325" s="239">
        <v>535.41</v>
      </c>
      <c r="H325" s="242" t="s">
        <v>129</v>
      </c>
      <c r="I325" s="242" t="s">
        <v>790</v>
      </c>
      <c r="J325" s="170" t="s">
        <v>96</v>
      </c>
      <c r="K325" s="170" t="s">
        <v>345</v>
      </c>
      <c r="L325" s="170" t="s">
        <v>113</v>
      </c>
      <c r="M325" s="75"/>
      <c r="N325" s="75"/>
      <c r="O325" s="75"/>
    </row>
    <row r="326" spans="1:15">
      <c r="A326" s="453">
        <v>46094</v>
      </c>
      <c r="B326" s="170" t="s">
        <v>765</v>
      </c>
      <c r="C326" s="170" t="s">
        <v>748</v>
      </c>
      <c r="D326" s="469" t="s">
        <v>100</v>
      </c>
      <c r="E326" s="460">
        <v>10000</v>
      </c>
      <c r="F326" s="454">
        <f t="shared" si="5"/>
        <v>18.67727535907062</v>
      </c>
      <c r="G326" s="239">
        <v>535.41</v>
      </c>
      <c r="H326" s="242" t="s">
        <v>129</v>
      </c>
      <c r="I326" s="242" t="s">
        <v>790</v>
      </c>
      <c r="J326" s="170" t="s">
        <v>96</v>
      </c>
      <c r="K326" s="170" t="s">
        <v>345</v>
      </c>
      <c r="L326" s="170" t="s">
        <v>113</v>
      </c>
      <c r="M326" s="75"/>
      <c r="N326" s="75"/>
      <c r="O326" s="75"/>
    </row>
    <row r="327" spans="1:15">
      <c r="A327" s="453">
        <v>46094</v>
      </c>
      <c r="B327" s="170" t="s">
        <v>766</v>
      </c>
      <c r="C327" s="170" t="s">
        <v>748</v>
      </c>
      <c r="D327" s="469" t="s">
        <v>100</v>
      </c>
      <c r="E327" s="460">
        <v>6000</v>
      </c>
      <c r="F327" s="454">
        <f t="shared" si="5"/>
        <v>11.206365215442371</v>
      </c>
      <c r="G327" s="239">
        <v>535.41</v>
      </c>
      <c r="H327" s="242" t="s">
        <v>129</v>
      </c>
      <c r="I327" s="242" t="s">
        <v>791</v>
      </c>
      <c r="J327" s="170" t="s">
        <v>96</v>
      </c>
      <c r="K327" s="170" t="s">
        <v>345</v>
      </c>
      <c r="L327" s="170" t="s">
        <v>113</v>
      </c>
      <c r="M327" s="75"/>
      <c r="N327" s="75"/>
      <c r="O327" s="75"/>
    </row>
    <row r="328" spans="1:15">
      <c r="A328" s="453">
        <v>46094</v>
      </c>
      <c r="B328" s="170" t="s">
        <v>767</v>
      </c>
      <c r="C328" s="170" t="s">
        <v>748</v>
      </c>
      <c r="D328" s="469" t="s">
        <v>100</v>
      </c>
      <c r="E328" s="460">
        <v>18000</v>
      </c>
      <c r="F328" s="454">
        <f t="shared" si="5"/>
        <v>33.619095646327118</v>
      </c>
      <c r="G328" s="239">
        <v>535.41</v>
      </c>
      <c r="H328" s="242" t="s">
        <v>129</v>
      </c>
      <c r="I328" s="242" t="s">
        <v>791</v>
      </c>
      <c r="J328" s="170" t="s">
        <v>96</v>
      </c>
      <c r="K328" s="170" t="s">
        <v>345</v>
      </c>
      <c r="L328" s="170" t="s">
        <v>113</v>
      </c>
      <c r="M328" s="75"/>
      <c r="N328" s="75"/>
      <c r="O328" s="75"/>
    </row>
    <row r="329" spans="1:15">
      <c r="A329" s="457">
        <v>46095</v>
      </c>
      <c r="B329" s="242" t="s">
        <v>186</v>
      </c>
      <c r="C329" s="170" t="s">
        <v>337</v>
      </c>
      <c r="D329" s="458" t="s">
        <v>99</v>
      </c>
      <c r="E329" s="242">
        <v>1000</v>
      </c>
      <c r="F329" s="454">
        <f t="shared" si="5"/>
        <v>1.8677282335885521</v>
      </c>
      <c r="G329" s="239">
        <v>535.40980000000002</v>
      </c>
      <c r="H329" s="459" t="s">
        <v>111</v>
      </c>
      <c r="I329" s="170" t="s">
        <v>380</v>
      </c>
      <c r="J329" s="170" t="s">
        <v>96</v>
      </c>
      <c r="K329" s="170" t="s">
        <v>345</v>
      </c>
      <c r="L329" s="170" t="s">
        <v>113</v>
      </c>
      <c r="M329" s="364"/>
      <c r="N329" s="364"/>
      <c r="O329" s="75"/>
    </row>
    <row r="330" spans="1:15">
      <c r="A330" s="457">
        <v>46095</v>
      </c>
      <c r="B330" s="242" t="s">
        <v>187</v>
      </c>
      <c r="C330" s="170" t="s">
        <v>337</v>
      </c>
      <c r="D330" s="458" t="s">
        <v>99</v>
      </c>
      <c r="E330" s="242">
        <v>1000</v>
      </c>
      <c r="F330" s="454">
        <f t="shared" si="5"/>
        <v>1.8677282335885521</v>
      </c>
      <c r="G330" s="239">
        <v>535.40980000000002</v>
      </c>
      <c r="H330" s="459" t="s">
        <v>111</v>
      </c>
      <c r="I330" s="170" t="s">
        <v>380</v>
      </c>
      <c r="J330" s="170" t="s">
        <v>96</v>
      </c>
      <c r="K330" s="170" t="s">
        <v>345</v>
      </c>
      <c r="L330" s="170" t="s">
        <v>113</v>
      </c>
      <c r="M330" s="364"/>
      <c r="N330" s="364"/>
      <c r="O330" s="75"/>
    </row>
    <row r="331" spans="1:15">
      <c r="A331" s="428">
        <v>46095</v>
      </c>
      <c r="B331" s="429" t="s">
        <v>1051</v>
      </c>
      <c r="C331" s="429" t="s">
        <v>542</v>
      </c>
      <c r="D331" s="429" t="s">
        <v>259</v>
      </c>
      <c r="E331" s="429">
        <v>10000</v>
      </c>
      <c r="F331" s="454">
        <f t="shared" si="5"/>
        <v>18.67727535907062</v>
      </c>
      <c r="G331" s="239">
        <v>535.41</v>
      </c>
      <c r="H331" s="429" t="s">
        <v>123</v>
      </c>
      <c r="I331" s="429" t="s">
        <v>559</v>
      </c>
      <c r="J331" s="170" t="s">
        <v>96</v>
      </c>
      <c r="K331" s="170" t="s">
        <v>345</v>
      </c>
      <c r="L331" s="170" t="s">
        <v>113</v>
      </c>
      <c r="M331" s="75"/>
      <c r="N331" s="75"/>
      <c r="O331" s="75"/>
    </row>
    <row r="332" spans="1:15">
      <c r="A332" s="428">
        <v>46095</v>
      </c>
      <c r="B332" s="429" t="s">
        <v>1028</v>
      </c>
      <c r="C332" s="242" t="s">
        <v>402</v>
      </c>
      <c r="D332" s="429" t="s">
        <v>259</v>
      </c>
      <c r="E332" s="429">
        <v>3500</v>
      </c>
      <c r="F332" s="454">
        <f t="shared" si="5"/>
        <v>6.5370463756747172</v>
      </c>
      <c r="G332" s="239">
        <v>535.41</v>
      </c>
      <c r="H332" s="429" t="s">
        <v>123</v>
      </c>
      <c r="I332" s="429" t="s">
        <v>560</v>
      </c>
      <c r="J332" s="170" t="s">
        <v>96</v>
      </c>
      <c r="K332" s="170" t="s">
        <v>345</v>
      </c>
      <c r="L332" s="170" t="s">
        <v>113</v>
      </c>
      <c r="M332" s="75"/>
      <c r="N332" s="75"/>
      <c r="O332" s="75"/>
    </row>
    <row r="333" spans="1:15">
      <c r="A333" s="428">
        <v>46095</v>
      </c>
      <c r="B333" s="429" t="s">
        <v>1053</v>
      </c>
      <c r="C333" s="170" t="s">
        <v>337</v>
      </c>
      <c r="D333" s="429" t="s">
        <v>259</v>
      </c>
      <c r="E333" s="429">
        <v>500</v>
      </c>
      <c r="F333" s="454">
        <f t="shared" si="5"/>
        <v>0.93386376795353099</v>
      </c>
      <c r="G333" s="239">
        <v>535.41</v>
      </c>
      <c r="H333" s="429" t="s">
        <v>123</v>
      </c>
      <c r="I333" s="429" t="s">
        <v>550</v>
      </c>
      <c r="J333" s="170" t="s">
        <v>96</v>
      </c>
      <c r="K333" s="170" t="s">
        <v>345</v>
      </c>
      <c r="L333" s="170" t="s">
        <v>113</v>
      </c>
      <c r="M333" s="75"/>
      <c r="N333" s="75"/>
      <c r="O333" s="75"/>
    </row>
    <row r="334" spans="1:15">
      <c r="A334" s="428">
        <v>46095</v>
      </c>
      <c r="B334" s="429" t="s">
        <v>1033</v>
      </c>
      <c r="C334" s="170" t="s">
        <v>337</v>
      </c>
      <c r="D334" s="429" t="s">
        <v>259</v>
      </c>
      <c r="E334" s="429">
        <v>1000</v>
      </c>
      <c r="F334" s="454">
        <f t="shared" si="5"/>
        <v>1.867727535907062</v>
      </c>
      <c r="G334" s="239">
        <v>535.41</v>
      </c>
      <c r="H334" s="429" t="s">
        <v>123</v>
      </c>
      <c r="I334" s="429" t="s">
        <v>550</v>
      </c>
      <c r="J334" s="170" t="s">
        <v>96</v>
      </c>
      <c r="K334" s="170" t="s">
        <v>345</v>
      </c>
      <c r="L334" s="170" t="s">
        <v>113</v>
      </c>
      <c r="M334" s="75"/>
      <c r="N334" s="75"/>
      <c r="O334" s="75"/>
    </row>
    <row r="335" spans="1:15">
      <c r="A335" s="428">
        <v>46095</v>
      </c>
      <c r="B335" s="429" t="s">
        <v>1033</v>
      </c>
      <c r="C335" s="170" t="s">
        <v>337</v>
      </c>
      <c r="D335" s="429" t="s">
        <v>259</v>
      </c>
      <c r="E335" s="429">
        <v>1000</v>
      </c>
      <c r="F335" s="454">
        <f t="shared" si="5"/>
        <v>1.867727535907062</v>
      </c>
      <c r="G335" s="239">
        <v>535.41</v>
      </c>
      <c r="H335" s="429" t="s">
        <v>123</v>
      </c>
      <c r="I335" s="429" t="s">
        <v>550</v>
      </c>
      <c r="J335" s="170" t="s">
        <v>96</v>
      </c>
      <c r="K335" s="170" t="s">
        <v>345</v>
      </c>
      <c r="L335" s="170" t="s">
        <v>113</v>
      </c>
      <c r="M335" s="75"/>
      <c r="N335" s="75"/>
      <c r="O335" s="75"/>
    </row>
    <row r="336" spans="1:15">
      <c r="A336" s="428">
        <v>46095</v>
      </c>
      <c r="B336" s="429" t="s">
        <v>1033</v>
      </c>
      <c r="C336" s="170" t="s">
        <v>337</v>
      </c>
      <c r="D336" s="429" t="s">
        <v>259</v>
      </c>
      <c r="E336" s="429">
        <v>1000</v>
      </c>
      <c r="F336" s="454">
        <f t="shared" si="5"/>
        <v>1.867727535907062</v>
      </c>
      <c r="G336" s="239">
        <v>535.41</v>
      </c>
      <c r="H336" s="429" t="s">
        <v>123</v>
      </c>
      <c r="I336" s="429" t="s">
        <v>550</v>
      </c>
      <c r="J336" s="170" t="s">
        <v>96</v>
      </c>
      <c r="K336" s="170" t="s">
        <v>345</v>
      </c>
      <c r="L336" s="170" t="s">
        <v>113</v>
      </c>
      <c r="M336" s="75"/>
      <c r="N336" s="75"/>
      <c r="O336" s="75"/>
    </row>
    <row r="337" spans="1:15">
      <c r="A337" s="428">
        <v>46095</v>
      </c>
      <c r="B337" s="429" t="s">
        <v>1033</v>
      </c>
      <c r="C337" s="170" t="s">
        <v>337</v>
      </c>
      <c r="D337" s="429" t="s">
        <v>259</v>
      </c>
      <c r="E337" s="429">
        <v>1000</v>
      </c>
      <c r="F337" s="454">
        <f t="shared" si="5"/>
        <v>1.867727535907062</v>
      </c>
      <c r="G337" s="239">
        <v>535.41</v>
      </c>
      <c r="H337" s="429" t="s">
        <v>123</v>
      </c>
      <c r="I337" s="429" t="s">
        <v>550</v>
      </c>
      <c r="J337" s="170" t="s">
        <v>96</v>
      </c>
      <c r="K337" s="170" t="s">
        <v>345</v>
      </c>
      <c r="L337" s="170" t="s">
        <v>113</v>
      </c>
      <c r="M337" s="75"/>
      <c r="N337" s="75"/>
      <c r="O337" s="75"/>
    </row>
    <row r="338" spans="1:15">
      <c r="A338" s="428">
        <v>46095</v>
      </c>
      <c r="B338" s="429" t="s">
        <v>1033</v>
      </c>
      <c r="C338" s="170" t="s">
        <v>337</v>
      </c>
      <c r="D338" s="429" t="s">
        <v>259</v>
      </c>
      <c r="E338" s="429">
        <v>1000</v>
      </c>
      <c r="F338" s="454">
        <f t="shared" si="5"/>
        <v>1.867727535907062</v>
      </c>
      <c r="G338" s="239">
        <v>535.41</v>
      </c>
      <c r="H338" s="429" t="s">
        <v>123</v>
      </c>
      <c r="I338" s="429" t="s">
        <v>550</v>
      </c>
      <c r="J338" s="170" t="s">
        <v>96</v>
      </c>
      <c r="K338" s="170" t="s">
        <v>345</v>
      </c>
      <c r="L338" s="170" t="s">
        <v>113</v>
      </c>
      <c r="M338" s="75"/>
      <c r="N338" s="75"/>
      <c r="O338" s="75"/>
    </row>
    <row r="339" spans="1:15">
      <c r="A339" s="428">
        <v>46095</v>
      </c>
      <c r="B339" s="429" t="s">
        <v>540</v>
      </c>
      <c r="C339" s="429" t="s">
        <v>541</v>
      </c>
      <c r="D339" s="429" t="s">
        <v>259</v>
      </c>
      <c r="E339" s="429">
        <v>2000</v>
      </c>
      <c r="F339" s="454">
        <f t="shared" si="5"/>
        <v>3.735455071814124</v>
      </c>
      <c r="G339" s="239">
        <v>535.41</v>
      </c>
      <c r="H339" s="429" t="s">
        <v>123</v>
      </c>
      <c r="I339" s="429" t="s">
        <v>551</v>
      </c>
      <c r="J339" s="170" t="s">
        <v>96</v>
      </c>
      <c r="K339" s="170" t="s">
        <v>345</v>
      </c>
      <c r="L339" s="170" t="s">
        <v>113</v>
      </c>
      <c r="M339" s="75"/>
      <c r="N339" s="75"/>
      <c r="O339" s="75"/>
    </row>
    <row r="340" spans="1:15">
      <c r="A340" s="457">
        <v>46095</v>
      </c>
      <c r="B340" s="242" t="s">
        <v>1027</v>
      </c>
      <c r="C340" s="170" t="s">
        <v>337</v>
      </c>
      <c r="D340" s="242" t="s">
        <v>259</v>
      </c>
      <c r="E340" s="242">
        <v>500</v>
      </c>
      <c r="F340" s="454">
        <f t="shared" si="5"/>
        <v>0.93386376795353099</v>
      </c>
      <c r="G340" s="239">
        <v>535.41</v>
      </c>
      <c r="H340" s="242" t="s">
        <v>122</v>
      </c>
      <c r="I340" s="242" t="s">
        <v>594</v>
      </c>
      <c r="J340" s="170" t="s">
        <v>96</v>
      </c>
      <c r="K340" s="170" t="s">
        <v>345</v>
      </c>
      <c r="L340" s="170" t="s">
        <v>113</v>
      </c>
      <c r="M340" s="75"/>
      <c r="N340" s="75"/>
      <c r="O340" s="75"/>
    </row>
    <row r="341" spans="1:15">
      <c r="A341" s="457">
        <v>46095</v>
      </c>
      <c r="B341" s="242" t="s">
        <v>1031</v>
      </c>
      <c r="C341" s="170" t="s">
        <v>337</v>
      </c>
      <c r="D341" s="242" t="s">
        <v>259</v>
      </c>
      <c r="E341" s="242">
        <v>500</v>
      </c>
      <c r="F341" s="454">
        <f t="shared" si="5"/>
        <v>0.93386376795353099</v>
      </c>
      <c r="G341" s="239">
        <v>535.41</v>
      </c>
      <c r="H341" s="242" t="s">
        <v>122</v>
      </c>
      <c r="I341" s="242" t="s">
        <v>594</v>
      </c>
      <c r="J341" s="170" t="s">
        <v>96</v>
      </c>
      <c r="K341" s="170" t="s">
        <v>345</v>
      </c>
      <c r="L341" s="170" t="s">
        <v>113</v>
      </c>
      <c r="M341" s="75"/>
      <c r="N341" s="75"/>
      <c r="O341" s="75"/>
    </row>
    <row r="342" spans="1:15">
      <c r="A342" s="457">
        <v>46095</v>
      </c>
      <c r="B342" s="242" t="s">
        <v>1031</v>
      </c>
      <c r="C342" s="170" t="s">
        <v>337</v>
      </c>
      <c r="D342" s="242" t="s">
        <v>259</v>
      </c>
      <c r="E342" s="242">
        <v>500</v>
      </c>
      <c r="F342" s="454">
        <f t="shared" si="5"/>
        <v>0.93386376795353099</v>
      </c>
      <c r="G342" s="239">
        <v>535.41</v>
      </c>
      <c r="H342" s="242" t="s">
        <v>122</v>
      </c>
      <c r="I342" s="242" t="s">
        <v>594</v>
      </c>
      <c r="J342" s="170" t="s">
        <v>96</v>
      </c>
      <c r="K342" s="170" t="s">
        <v>345</v>
      </c>
      <c r="L342" s="170" t="s">
        <v>113</v>
      </c>
      <c r="M342" s="75"/>
      <c r="N342" s="75"/>
      <c r="O342" s="75"/>
    </row>
    <row r="343" spans="1:15">
      <c r="A343" s="457">
        <v>46095</v>
      </c>
      <c r="B343" s="242" t="s">
        <v>1027</v>
      </c>
      <c r="C343" s="170" t="s">
        <v>337</v>
      </c>
      <c r="D343" s="242" t="s">
        <v>259</v>
      </c>
      <c r="E343" s="242">
        <v>500</v>
      </c>
      <c r="F343" s="454">
        <f t="shared" si="5"/>
        <v>0.93386376795353099</v>
      </c>
      <c r="G343" s="239">
        <v>535.41</v>
      </c>
      <c r="H343" s="242" t="s">
        <v>122</v>
      </c>
      <c r="I343" s="242" t="s">
        <v>594</v>
      </c>
      <c r="J343" s="170" t="s">
        <v>96</v>
      </c>
      <c r="K343" s="170" t="s">
        <v>345</v>
      </c>
      <c r="L343" s="170" t="s">
        <v>113</v>
      </c>
      <c r="M343" s="75"/>
      <c r="N343" s="75"/>
      <c r="O343" s="75"/>
    </row>
    <row r="344" spans="1:15">
      <c r="A344" s="457">
        <v>46095</v>
      </c>
      <c r="B344" s="242" t="s">
        <v>1027</v>
      </c>
      <c r="C344" s="170" t="s">
        <v>337</v>
      </c>
      <c r="D344" s="242" t="s">
        <v>259</v>
      </c>
      <c r="E344" s="242">
        <v>500</v>
      </c>
      <c r="F344" s="454">
        <f t="shared" si="5"/>
        <v>0.93386376795353099</v>
      </c>
      <c r="G344" s="239">
        <v>535.41</v>
      </c>
      <c r="H344" s="242" t="s">
        <v>122</v>
      </c>
      <c r="I344" s="242" t="s">
        <v>594</v>
      </c>
      <c r="J344" s="170" t="s">
        <v>96</v>
      </c>
      <c r="K344" s="170" t="s">
        <v>345</v>
      </c>
      <c r="L344" s="170" t="s">
        <v>113</v>
      </c>
      <c r="M344" s="75"/>
      <c r="N344" s="75"/>
      <c r="O344" s="75"/>
    </row>
    <row r="345" spans="1:15">
      <c r="A345" s="457">
        <v>46095</v>
      </c>
      <c r="B345" s="242" t="s">
        <v>1027</v>
      </c>
      <c r="C345" s="170" t="s">
        <v>337</v>
      </c>
      <c r="D345" s="242" t="s">
        <v>259</v>
      </c>
      <c r="E345" s="242">
        <v>500</v>
      </c>
      <c r="F345" s="454">
        <f t="shared" si="5"/>
        <v>0.93386376795353099</v>
      </c>
      <c r="G345" s="239">
        <v>535.41</v>
      </c>
      <c r="H345" s="242" t="s">
        <v>131</v>
      </c>
      <c r="I345" s="242" t="s">
        <v>653</v>
      </c>
      <c r="J345" s="170" t="s">
        <v>96</v>
      </c>
      <c r="K345" s="170" t="s">
        <v>345</v>
      </c>
      <c r="L345" s="170" t="s">
        <v>113</v>
      </c>
      <c r="M345" s="75"/>
      <c r="N345" s="75"/>
      <c r="O345" s="75"/>
    </row>
    <row r="346" spans="1:15">
      <c r="A346" s="457">
        <v>46095</v>
      </c>
      <c r="B346" s="242" t="s">
        <v>1056</v>
      </c>
      <c r="C346" s="242" t="s">
        <v>647</v>
      </c>
      <c r="D346" s="242" t="s">
        <v>259</v>
      </c>
      <c r="E346" s="242">
        <v>1600</v>
      </c>
      <c r="F346" s="454">
        <f t="shared" si="5"/>
        <v>2.9883640574512991</v>
      </c>
      <c r="G346" s="239">
        <v>535.41</v>
      </c>
      <c r="H346" s="242" t="s">
        <v>131</v>
      </c>
      <c r="I346" s="242" t="s">
        <v>658</v>
      </c>
      <c r="J346" s="170" t="s">
        <v>96</v>
      </c>
      <c r="K346" s="170" t="s">
        <v>345</v>
      </c>
      <c r="L346" s="170" t="s">
        <v>113</v>
      </c>
      <c r="M346" s="75"/>
      <c r="N346" s="75"/>
      <c r="O346" s="75"/>
    </row>
    <row r="347" spans="1:15">
      <c r="A347" s="457">
        <v>46095</v>
      </c>
      <c r="B347" s="242" t="s">
        <v>1027</v>
      </c>
      <c r="C347" s="170" t="s">
        <v>337</v>
      </c>
      <c r="D347" s="242" t="s">
        <v>259</v>
      </c>
      <c r="E347" s="242">
        <v>500</v>
      </c>
      <c r="F347" s="454">
        <f t="shared" si="5"/>
        <v>0.93386376795353099</v>
      </c>
      <c r="G347" s="239">
        <v>535.41</v>
      </c>
      <c r="H347" s="242" t="s">
        <v>131</v>
      </c>
      <c r="I347" s="242" t="s">
        <v>653</v>
      </c>
      <c r="J347" s="170" t="s">
        <v>96</v>
      </c>
      <c r="K347" s="170" t="s">
        <v>345</v>
      </c>
      <c r="L347" s="170" t="s">
        <v>113</v>
      </c>
      <c r="M347" s="75"/>
      <c r="N347" s="75"/>
      <c r="O347" s="75"/>
    </row>
    <row r="348" spans="1:15">
      <c r="A348" s="457">
        <v>46095</v>
      </c>
      <c r="B348" s="242" t="s">
        <v>1027</v>
      </c>
      <c r="C348" s="170" t="s">
        <v>337</v>
      </c>
      <c r="D348" s="242" t="s">
        <v>259</v>
      </c>
      <c r="E348" s="242">
        <v>500</v>
      </c>
      <c r="F348" s="454">
        <f t="shared" si="5"/>
        <v>0.93386376795353099</v>
      </c>
      <c r="G348" s="239">
        <v>535.41</v>
      </c>
      <c r="H348" s="242" t="s">
        <v>131</v>
      </c>
      <c r="I348" s="242" t="s">
        <v>653</v>
      </c>
      <c r="J348" s="170" t="s">
        <v>96</v>
      </c>
      <c r="K348" s="170" t="s">
        <v>345</v>
      </c>
      <c r="L348" s="170" t="s">
        <v>113</v>
      </c>
      <c r="M348" s="75"/>
      <c r="N348" s="75"/>
      <c r="O348" s="75"/>
    </row>
    <row r="349" spans="1:15">
      <c r="A349" s="457">
        <v>46095</v>
      </c>
      <c r="B349" s="242" t="s">
        <v>1057</v>
      </c>
      <c r="C349" s="242" t="s">
        <v>647</v>
      </c>
      <c r="D349" s="242" t="s">
        <v>259</v>
      </c>
      <c r="E349" s="242">
        <v>2000</v>
      </c>
      <c r="F349" s="454">
        <f t="shared" si="5"/>
        <v>3.735455071814124</v>
      </c>
      <c r="G349" s="239">
        <v>535.41</v>
      </c>
      <c r="H349" s="242" t="s">
        <v>131</v>
      </c>
      <c r="I349" s="242" t="s">
        <v>658</v>
      </c>
      <c r="J349" s="170" t="s">
        <v>96</v>
      </c>
      <c r="K349" s="170" t="s">
        <v>345</v>
      </c>
      <c r="L349" s="170" t="s">
        <v>113</v>
      </c>
      <c r="M349" s="75"/>
      <c r="N349" s="75"/>
      <c r="O349" s="75"/>
    </row>
    <row r="350" spans="1:15">
      <c r="A350" s="457">
        <v>46095</v>
      </c>
      <c r="B350" s="242" t="s">
        <v>1031</v>
      </c>
      <c r="C350" s="170" t="s">
        <v>337</v>
      </c>
      <c r="D350" s="242" t="s">
        <v>259</v>
      </c>
      <c r="E350" s="242">
        <v>500</v>
      </c>
      <c r="F350" s="454">
        <f t="shared" si="5"/>
        <v>0.93386376795353099</v>
      </c>
      <c r="G350" s="239">
        <v>535.41</v>
      </c>
      <c r="H350" s="242" t="s">
        <v>131</v>
      </c>
      <c r="I350" s="242" t="s">
        <v>653</v>
      </c>
      <c r="J350" s="170" t="s">
        <v>96</v>
      </c>
      <c r="K350" s="170" t="s">
        <v>345</v>
      </c>
      <c r="L350" s="170" t="s">
        <v>113</v>
      </c>
      <c r="M350" s="75"/>
      <c r="N350" s="75"/>
      <c r="O350" s="75"/>
    </row>
    <row r="351" spans="1:15">
      <c r="A351" s="457">
        <v>46096</v>
      </c>
      <c r="B351" s="242" t="s">
        <v>1027</v>
      </c>
      <c r="C351" s="170" t="s">
        <v>337</v>
      </c>
      <c r="D351" s="242" t="s">
        <v>259</v>
      </c>
      <c r="E351" s="242">
        <v>500</v>
      </c>
      <c r="F351" s="454">
        <f t="shared" si="5"/>
        <v>0.93386376795353099</v>
      </c>
      <c r="G351" s="239">
        <v>535.41</v>
      </c>
      <c r="H351" s="242" t="s">
        <v>131</v>
      </c>
      <c r="I351" s="242" t="s">
        <v>653</v>
      </c>
      <c r="J351" s="170" t="s">
        <v>96</v>
      </c>
      <c r="K351" s="170" t="s">
        <v>345</v>
      </c>
      <c r="L351" s="170" t="s">
        <v>113</v>
      </c>
      <c r="M351" s="75"/>
      <c r="N351" s="75"/>
      <c r="O351" s="75"/>
    </row>
    <row r="352" spans="1:15">
      <c r="A352" s="457">
        <v>46096</v>
      </c>
      <c r="B352" s="242" t="s">
        <v>1027</v>
      </c>
      <c r="C352" s="170" t="s">
        <v>337</v>
      </c>
      <c r="D352" s="242" t="s">
        <v>259</v>
      </c>
      <c r="E352" s="242">
        <v>500</v>
      </c>
      <c r="F352" s="454">
        <f t="shared" si="5"/>
        <v>0.93386376795353099</v>
      </c>
      <c r="G352" s="239">
        <v>535.41</v>
      </c>
      <c r="H352" s="242" t="s">
        <v>131</v>
      </c>
      <c r="I352" s="242" t="s">
        <v>653</v>
      </c>
      <c r="J352" s="170" t="s">
        <v>96</v>
      </c>
      <c r="K352" s="170" t="s">
        <v>345</v>
      </c>
      <c r="L352" s="170" t="s">
        <v>113</v>
      </c>
      <c r="M352" s="75"/>
      <c r="N352" s="75"/>
      <c r="O352" s="75"/>
    </row>
    <row r="353" spans="1:15">
      <c r="A353" s="457">
        <v>46096</v>
      </c>
      <c r="B353" s="242" t="s">
        <v>1057</v>
      </c>
      <c r="C353" s="242" t="s">
        <v>647</v>
      </c>
      <c r="D353" s="242" t="s">
        <v>259</v>
      </c>
      <c r="E353" s="242">
        <v>2000</v>
      </c>
      <c r="F353" s="454">
        <f t="shared" si="5"/>
        <v>3.735455071814124</v>
      </c>
      <c r="G353" s="239">
        <v>535.41</v>
      </c>
      <c r="H353" s="242" t="s">
        <v>131</v>
      </c>
      <c r="I353" s="242" t="s">
        <v>658</v>
      </c>
      <c r="J353" s="170" t="s">
        <v>96</v>
      </c>
      <c r="K353" s="170" t="s">
        <v>345</v>
      </c>
      <c r="L353" s="170" t="s">
        <v>113</v>
      </c>
      <c r="M353" s="75"/>
      <c r="N353" s="75"/>
      <c r="O353" s="75"/>
    </row>
    <row r="354" spans="1:15">
      <c r="A354" s="457">
        <v>46096</v>
      </c>
      <c r="B354" s="242" t="s">
        <v>1031</v>
      </c>
      <c r="C354" s="170" t="s">
        <v>337</v>
      </c>
      <c r="D354" s="242" t="s">
        <v>259</v>
      </c>
      <c r="E354" s="242">
        <v>500</v>
      </c>
      <c r="F354" s="454">
        <f t="shared" si="5"/>
        <v>0.93386376795353099</v>
      </c>
      <c r="G354" s="239">
        <v>535.41</v>
      </c>
      <c r="H354" s="242" t="s">
        <v>131</v>
      </c>
      <c r="I354" s="242" t="s">
        <v>653</v>
      </c>
      <c r="J354" s="170" t="s">
        <v>96</v>
      </c>
      <c r="K354" s="170" t="s">
        <v>345</v>
      </c>
      <c r="L354" s="170" t="s">
        <v>113</v>
      </c>
      <c r="M354" s="75"/>
      <c r="N354" s="75"/>
      <c r="O354" s="75"/>
    </row>
    <row r="355" spans="1:15">
      <c r="A355" s="457">
        <v>46096</v>
      </c>
      <c r="B355" s="242" t="s">
        <v>1027</v>
      </c>
      <c r="C355" s="170" t="s">
        <v>337</v>
      </c>
      <c r="D355" s="242" t="s">
        <v>259</v>
      </c>
      <c r="E355" s="242">
        <v>500</v>
      </c>
      <c r="F355" s="454">
        <f t="shared" si="5"/>
        <v>0.93386376795353099</v>
      </c>
      <c r="G355" s="239">
        <v>535.41</v>
      </c>
      <c r="H355" s="242" t="s">
        <v>131</v>
      </c>
      <c r="I355" s="242" t="s">
        <v>653</v>
      </c>
      <c r="J355" s="170" t="s">
        <v>96</v>
      </c>
      <c r="K355" s="170" t="s">
        <v>345</v>
      </c>
      <c r="L355" s="170" t="s">
        <v>113</v>
      </c>
      <c r="M355" s="75"/>
      <c r="N355" s="75"/>
      <c r="O355" s="75"/>
    </row>
    <row r="356" spans="1:15">
      <c r="A356" s="457">
        <v>46097</v>
      </c>
      <c r="B356" s="242" t="s">
        <v>186</v>
      </c>
      <c r="C356" s="170" t="s">
        <v>337</v>
      </c>
      <c r="D356" s="458" t="s">
        <v>99</v>
      </c>
      <c r="E356" s="242">
        <v>1000</v>
      </c>
      <c r="F356" s="454">
        <f t="shared" si="5"/>
        <v>1.8677282335885521</v>
      </c>
      <c r="G356" s="239">
        <v>535.40980000000002</v>
      </c>
      <c r="H356" s="459" t="s">
        <v>111</v>
      </c>
      <c r="I356" s="170" t="s">
        <v>380</v>
      </c>
      <c r="J356" s="170" t="s">
        <v>96</v>
      </c>
      <c r="K356" s="170" t="s">
        <v>345</v>
      </c>
      <c r="L356" s="170" t="s">
        <v>113</v>
      </c>
      <c r="M356" s="364"/>
      <c r="N356" s="364"/>
      <c r="O356" s="75"/>
    </row>
    <row r="357" spans="1:15">
      <c r="A357" s="457">
        <v>46097</v>
      </c>
      <c r="B357" s="242" t="s">
        <v>366</v>
      </c>
      <c r="C357" s="170" t="s">
        <v>337</v>
      </c>
      <c r="D357" s="458" t="s">
        <v>99</v>
      </c>
      <c r="E357" s="242">
        <v>1000</v>
      </c>
      <c r="F357" s="454">
        <f t="shared" si="5"/>
        <v>1.8677282335885521</v>
      </c>
      <c r="G357" s="239">
        <v>535.40980000000002</v>
      </c>
      <c r="H357" s="459" t="s">
        <v>111</v>
      </c>
      <c r="I357" s="170" t="s">
        <v>380</v>
      </c>
      <c r="J357" s="170" t="s">
        <v>96</v>
      </c>
      <c r="K357" s="170" t="s">
        <v>345</v>
      </c>
      <c r="L357" s="170" t="s">
        <v>113</v>
      </c>
      <c r="M357" s="364"/>
      <c r="N357" s="364"/>
      <c r="O357" s="75"/>
    </row>
    <row r="358" spans="1:15">
      <c r="A358" s="457">
        <v>46097</v>
      </c>
      <c r="B358" s="242" t="s">
        <v>367</v>
      </c>
      <c r="C358" s="170" t="s">
        <v>337</v>
      </c>
      <c r="D358" s="458" t="s">
        <v>99</v>
      </c>
      <c r="E358" s="242">
        <v>1000</v>
      </c>
      <c r="F358" s="454">
        <f t="shared" si="5"/>
        <v>1.8677282335885521</v>
      </c>
      <c r="G358" s="239">
        <v>535.40980000000002</v>
      </c>
      <c r="H358" s="459" t="s">
        <v>111</v>
      </c>
      <c r="I358" s="170" t="s">
        <v>380</v>
      </c>
      <c r="J358" s="170" t="s">
        <v>96</v>
      </c>
      <c r="K358" s="170" t="s">
        <v>345</v>
      </c>
      <c r="L358" s="170" t="s">
        <v>113</v>
      </c>
      <c r="M358" s="364"/>
      <c r="N358" s="364"/>
      <c r="O358" s="75"/>
    </row>
    <row r="359" spans="1:15">
      <c r="A359" s="457">
        <v>46097</v>
      </c>
      <c r="B359" s="242" t="s">
        <v>187</v>
      </c>
      <c r="C359" s="170" t="s">
        <v>337</v>
      </c>
      <c r="D359" s="458" t="s">
        <v>99</v>
      </c>
      <c r="E359" s="242">
        <v>1000</v>
      </c>
      <c r="F359" s="454">
        <f t="shared" si="5"/>
        <v>1.8677282335885521</v>
      </c>
      <c r="G359" s="239">
        <v>535.40980000000002</v>
      </c>
      <c r="H359" s="459" t="s">
        <v>111</v>
      </c>
      <c r="I359" s="170" t="s">
        <v>380</v>
      </c>
      <c r="J359" s="170" t="s">
        <v>96</v>
      </c>
      <c r="K359" s="170" t="s">
        <v>345</v>
      </c>
      <c r="L359" s="170" t="s">
        <v>113</v>
      </c>
      <c r="M359" s="364"/>
      <c r="N359" s="364"/>
      <c r="O359" s="75"/>
    </row>
    <row r="360" spans="1:15">
      <c r="A360" s="428">
        <v>46097</v>
      </c>
      <c r="B360" s="429" t="s">
        <v>1028</v>
      </c>
      <c r="C360" s="242" t="s">
        <v>402</v>
      </c>
      <c r="D360" s="429" t="s">
        <v>259</v>
      </c>
      <c r="E360" s="429">
        <v>2000</v>
      </c>
      <c r="F360" s="454">
        <f t="shared" si="5"/>
        <v>3.735455071814124</v>
      </c>
      <c r="G360" s="239">
        <v>535.41</v>
      </c>
      <c r="H360" s="429" t="s">
        <v>123</v>
      </c>
      <c r="I360" s="429" t="s">
        <v>561</v>
      </c>
      <c r="J360" s="170" t="s">
        <v>96</v>
      </c>
      <c r="K360" s="170" t="s">
        <v>345</v>
      </c>
      <c r="L360" s="170" t="s">
        <v>113</v>
      </c>
      <c r="M360" s="75"/>
      <c r="N360" s="75"/>
      <c r="O360" s="75"/>
    </row>
    <row r="361" spans="1:15">
      <c r="A361" s="428">
        <v>46097</v>
      </c>
      <c r="B361" s="429" t="s">
        <v>1028</v>
      </c>
      <c r="C361" s="242" t="s">
        <v>402</v>
      </c>
      <c r="D361" s="429" t="s">
        <v>259</v>
      </c>
      <c r="E361" s="429">
        <v>2000</v>
      </c>
      <c r="F361" s="454">
        <f t="shared" si="5"/>
        <v>3.735455071814124</v>
      </c>
      <c r="G361" s="239">
        <v>535.41</v>
      </c>
      <c r="H361" s="429" t="s">
        <v>123</v>
      </c>
      <c r="I361" s="429" t="s">
        <v>562</v>
      </c>
      <c r="J361" s="170" t="s">
        <v>96</v>
      </c>
      <c r="K361" s="170" t="s">
        <v>345</v>
      </c>
      <c r="L361" s="170" t="s">
        <v>113</v>
      </c>
      <c r="M361" s="75"/>
      <c r="N361" s="75"/>
      <c r="O361" s="75"/>
    </row>
    <row r="362" spans="1:15">
      <c r="A362" s="428">
        <v>46097</v>
      </c>
      <c r="B362" s="429" t="s">
        <v>1090</v>
      </c>
      <c r="C362" s="170" t="s">
        <v>337</v>
      </c>
      <c r="D362" s="429" t="s">
        <v>259</v>
      </c>
      <c r="E362" s="429">
        <v>500</v>
      </c>
      <c r="F362" s="454">
        <f t="shared" si="5"/>
        <v>0.93386376795353099</v>
      </c>
      <c r="G362" s="239">
        <v>535.41</v>
      </c>
      <c r="H362" s="429" t="s">
        <v>123</v>
      </c>
      <c r="I362" s="429" t="s">
        <v>550</v>
      </c>
      <c r="J362" s="170" t="s">
        <v>96</v>
      </c>
      <c r="K362" s="170" t="s">
        <v>345</v>
      </c>
      <c r="L362" s="170" t="s">
        <v>113</v>
      </c>
      <c r="M362" s="75"/>
      <c r="N362" s="75"/>
      <c r="O362" s="75"/>
    </row>
    <row r="363" spans="1:15">
      <c r="A363" s="428">
        <v>46097</v>
      </c>
      <c r="B363" s="429" t="s">
        <v>1053</v>
      </c>
      <c r="C363" s="170" t="s">
        <v>337</v>
      </c>
      <c r="D363" s="429" t="s">
        <v>259</v>
      </c>
      <c r="E363" s="429">
        <v>500</v>
      </c>
      <c r="F363" s="454">
        <f t="shared" si="5"/>
        <v>0.93386376795353099</v>
      </c>
      <c r="G363" s="239">
        <v>535.41</v>
      </c>
      <c r="H363" s="429" t="s">
        <v>123</v>
      </c>
      <c r="I363" s="429" t="s">
        <v>550</v>
      </c>
      <c r="J363" s="170" t="s">
        <v>96</v>
      </c>
      <c r="K363" s="170" t="s">
        <v>345</v>
      </c>
      <c r="L363" s="170" t="s">
        <v>113</v>
      </c>
      <c r="M363" s="75"/>
      <c r="N363" s="75"/>
      <c r="O363" s="75"/>
    </row>
    <row r="364" spans="1:15">
      <c r="A364" s="428">
        <v>46097</v>
      </c>
      <c r="B364" s="429" t="s">
        <v>1053</v>
      </c>
      <c r="C364" s="170" t="s">
        <v>337</v>
      </c>
      <c r="D364" s="429" t="s">
        <v>259</v>
      </c>
      <c r="E364" s="429">
        <v>500</v>
      </c>
      <c r="F364" s="454">
        <f t="shared" si="5"/>
        <v>0.93386376795353099</v>
      </c>
      <c r="G364" s="239">
        <v>535.41</v>
      </c>
      <c r="H364" s="429" t="s">
        <v>123</v>
      </c>
      <c r="I364" s="429" t="s">
        <v>550</v>
      </c>
      <c r="J364" s="170" t="s">
        <v>96</v>
      </c>
      <c r="K364" s="170" t="s">
        <v>345</v>
      </c>
      <c r="L364" s="170" t="s">
        <v>113</v>
      </c>
      <c r="M364" s="75"/>
      <c r="N364" s="75"/>
      <c r="O364" s="75"/>
    </row>
    <row r="365" spans="1:15">
      <c r="A365" s="428">
        <v>46097</v>
      </c>
      <c r="B365" s="429" t="s">
        <v>1053</v>
      </c>
      <c r="C365" s="170" t="s">
        <v>337</v>
      </c>
      <c r="D365" s="429" t="s">
        <v>259</v>
      </c>
      <c r="E365" s="429">
        <v>500</v>
      </c>
      <c r="F365" s="454">
        <f t="shared" si="5"/>
        <v>0.93386376795353099</v>
      </c>
      <c r="G365" s="239">
        <v>535.41</v>
      </c>
      <c r="H365" s="429" t="s">
        <v>123</v>
      </c>
      <c r="I365" s="429" t="s">
        <v>550</v>
      </c>
      <c r="J365" s="170" t="s">
        <v>96</v>
      </c>
      <c r="K365" s="170" t="s">
        <v>345</v>
      </c>
      <c r="L365" s="170" t="s">
        <v>113</v>
      </c>
      <c r="M365" s="75"/>
      <c r="N365" s="75"/>
      <c r="O365" s="75"/>
    </row>
    <row r="366" spans="1:15">
      <c r="A366" s="428">
        <v>46097</v>
      </c>
      <c r="B366" s="429" t="s">
        <v>1033</v>
      </c>
      <c r="C366" s="170" t="s">
        <v>337</v>
      </c>
      <c r="D366" s="429" t="s">
        <v>259</v>
      </c>
      <c r="E366" s="429">
        <v>500</v>
      </c>
      <c r="F366" s="454">
        <f t="shared" si="5"/>
        <v>0.93386376795353099</v>
      </c>
      <c r="G366" s="239">
        <v>535.41</v>
      </c>
      <c r="H366" s="429" t="s">
        <v>123</v>
      </c>
      <c r="I366" s="429" t="s">
        <v>550</v>
      </c>
      <c r="J366" s="170" t="s">
        <v>96</v>
      </c>
      <c r="K366" s="170" t="s">
        <v>345</v>
      </c>
      <c r="L366" s="170" t="s">
        <v>113</v>
      </c>
      <c r="M366" s="75"/>
      <c r="N366" s="75"/>
      <c r="O366" s="75"/>
    </row>
    <row r="367" spans="1:15">
      <c r="A367" s="428">
        <v>46097</v>
      </c>
      <c r="B367" s="429" t="s">
        <v>540</v>
      </c>
      <c r="C367" s="429" t="s">
        <v>541</v>
      </c>
      <c r="D367" s="429" t="s">
        <v>259</v>
      </c>
      <c r="E367" s="429">
        <v>1000</v>
      </c>
      <c r="F367" s="454">
        <f t="shared" si="5"/>
        <v>1.867727535907062</v>
      </c>
      <c r="G367" s="239">
        <v>535.41</v>
      </c>
      <c r="H367" s="429" t="s">
        <v>123</v>
      </c>
      <c r="I367" s="429" t="s">
        <v>551</v>
      </c>
      <c r="J367" s="170" t="s">
        <v>96</v>
      </c>
      <c r="K367" s="170" t="s">
        <v>345</v>
      </c>
      <c r="L367" s="170" t="s">
        <v>113</v>
      </c>
      <c r="M367" s="75"/>
      <c r="N367" s="75"/>
      <c r="O367" s="75"/>
    </row>
    <row r="368" spans="1:15">
      <c r="A368" s="457">
        <v>46097</v>
      </c>
      <c r="B368" s="242" t="s">
        <v>1027</v>
      </c>
      <c r="C368" s="242" t="s">
        <v>402</v>
      </c>
      <c r="D368" s="242" t="s">
        <v>259</v>
      </c>
      <c r="E368" s="242">
        <v>6000</v>
      </c>
      <c r="F368" s="454">
        <f t="shared" si="5"/>
        <v>11.206365215442371</v>
      </c>
      <c r="G368" s="239">
        <v>535.41</v>
      </c>
      <c r="H368" s="242" t="s">
        <v>122</v>
      </c>
      <c r="I368" s="242" t="s">
        <v>613</v>
      </c>
      <c r="J368" s="170" t="s">
        <v>96</v>
      </c>
      <c r="K368" s="170" t="s">
        <v>345</v>
      </c>
      <c r="L368" s="170" t="s">
        <v>113</v>
      </c>
      <c r="M368" s="75"/>
      <c r="N368" s="75"/>
      <c r="O368" s="75"/>
    </row>
    <row r="369" spans="1:15">
      <c r="A369" s="457">
        <v>46097</v>
      </c>
      <c r="B369" s="242" t="s">
        <v>1027</v>
      </c>
      <c r="C369" s="242" t="s">
        <v>402</v>
      </c>
      <c r="D369" s="242" t="s">
        <v>259</v>
      </c>
      <c r="E369" s="242">
        <v>4000</v>
      </c>
      <c r="F369" s="454">
        <f t="shared" si="5"/>
        <v>7.4709101436282479</v>
      </c>
      <c r="G369" s="239">
        <v>535.41</v>
      </c>
      <c r="H369" s="242" t="s">
        <v>122</v>
      </c>
      <c r="I369" s="242" t="s">
        <v>614</v>
      </c>
      <c r="J369" s="170" t="s">
        <v>96</v>
      </c>
      <c r="K369" s="170" t="s">
        <v>345</v>
      </c>
      <c r="L369" s="170" t="s">
        <v>113</v>
      </c>
      <c r="M369" s="75"/>
      <c r="N369" s="75"/>
      <c r="O369" s="75"/>
    </row>
    <row r="370" spans="1:15">
      <c r="A370" s="453">
        <v>46097</v>
      </c>
      <c r="B370" s="170" t="s">
        <v>1027</v>
      </c>
      <c r="C370" s="242" t="s">
        <v>402</v>
      </c>
      <c r="D370" s="170" t="s">
        <v>259</v>
      </c>
      <c r="E370" s="170">
        <v>4000</v>
      </c>
      <c r="F370" s="454">
        <f t="shared" si="5"/>
        <v>7.4709101436282479</v>
      </c>
      <c r="G370" s="239">
        <v>535.41</v>
      </c>
      <c r="H370" s="170" t="s">
        <v>122</v>
      </c>
      <c r="I370" s="242" t="s">
        <v>615</v>
      </c>
      <c r="J370" s="170" t="s">
        <v>96</v>
      </c>
      <c r="K370" s="170" t="s">
        <v>345</v>
      </c>
      <c r="L370" s="170" t="s">
        <v>113</v>
      </c>
      <c r="M370" s="75"/>
      <c r="N370" s="75"/>
      <c r="O370" s="75"/>
    </row>
    <row r="371" spans="1:15">
      <c r="A371" s="457">
        <v>46097</v>
      </c>
      <c r="B371" s="242" t="s">
        <v>1082</v>
      </c>
      <c r="C371" s="242" t="s">
        <v>541</v>
      </c>
      <c r="D371" s="242" t="s">
        <v>259</v>
      </c>
      <c r="E371" s="242">
        <v>4500</v>
      </c>
      <c r="F371" s="454">
        <f t="shared" si="5"/>
        <v>8.4047739115817794</v>
      </c>
      <c r="G371" s="239">
        <v>535.41</v>
      </c>
      <c r="H371" s="242" t="s">
        <v>122</v>
      </c>
      <c r="I371" s="242" t="s">
        <v>596</v>
      </c>
      <c r="J371" s="170" t="s">
        <v>96</v>
      </c>
      <c r="K371" s="170" t="s">
        <v>345</v>
      </c>
      <c r="L371" s="170" t="s">
        <v>113</v>
      </c>
      <c r="M371" s="75"/>
      <c r="N371" s="75"/>
      <c r="O371" s="75"/>
    </row>
    <row r="372" spans="1:15">
      <c r="A372" s="457">
        <v>46097</v>
      </c>
      <c r="B372" s="242" t="s">
        <v>1031</v>
      </c>
      <c r="C372" s="170" t="s">
        <v>337</v>
      </c>
      <c r="D372" s="242" t="s">
        <v>259</v>
      </c>
      <c r="E372" s="242">
        <v>500</v>
      </c>
      <c r="F372" s="454">
        <f t="shared" si="5"/>
        <v>0.93386376795353099</v>
      </c>
      <c r="G372" s="239">
        <v>535.41</v>
      </c>
      <c r="H372" s="242" t="s">
        <v>122</v>
      </c>
      <c r="I372" s="242" t="s">
        <v>594</v>
      </c>
      <c r="J372" s="170" t="s">
        <v>96</v>
      </c>
      <c r="K372" s="170" t="s">
        <v>345</v>
      </c>
      <c r="L372" s="170" t="s">
        <v>113</v>
      </c>
      <c r="M372" s="75"/>
      <c r="N372" s="75"/>
      <c r="O372" s="75"/>
    </row>
    <row r="373" spans="1:15">
      <c r="A373" s="453">
        <v>46097</v>
      </c>
      <c r="B373" s="170" t="s">
        <v>1088</v>
      </c>
      <c r="C373" s="242" t="s">
        <v>402</v>
      </c>
      <c r="D373" s="170" t="s">
        <v>259</v>
      </c>
      <c r="E373" s="170">
        <v>10000</v>
      </c>
      <c r="F373" s="454">
        <f t="shared" si="5"/>
        <v>18.67727535907062</v>
      </c>
      <c r="G373" s="239">
        <v>535.41</v>
      </c>
      <c r="H373" s="170" t="s">
        <v>122</v>
      </c>
      <c r="I373" s="242" t="s">
        <v>616</v>
      </c>
      <c r="J373" s="170" t="s">
        <v>96</v>
      </c>
      <c r="K373" s="170" t="s">
        <v>345</v>
      </c>
      <c r="L373" s="170" t="s">
        <v>113</v>
      </c>
      <c r="M373" s="75"/>
      <c r="N373" s="75"/>
      <c r="O373" s="75"/>
    </row>
    <row r="374" spans="1:15">
      <c r="A374" s="457">
        <v>46097</v>
      </c>
      <c r="B374" s="170" t="s">
        <v>1034</v>
      </c>
      <c r="C374" s="242" t="s">
        <v>406</v>
      </c>
      <c r="D374" s="242" t="s">
        <v>259</v>
      </c>
      <c r="E374" s="242">
        <v>30000</v>
      </c>
      <c r="F374" s="454">
        <f t="shared" si="5"/>
        <v>56.031826077211861</v>
      </c>
      <c r="G374" s="239">
        <v>535.41</v>
      </c>
      <c r="H374" s="242" t="s">
        <v>122</v>
      </c>
      <c r="I374" s="242" t="s">
        <v>617</v>
      </c>
      <c r="J374" s="170" t="s">
        <v>96</v>
      </c>
      <c r="K374" s="170" t="s">
        <v>345</v>
      </c>
      <c r="L374" s="170" t="s">
        <v>113</v>
      </c>
      <c r="M374" s="75"/>
      <c r="N374" s="75"/>
      <c r="O374" s="75"/>
    </row>
    <row r="375" spans="1:15">
      <c r="A375" s="453">
        <v>46097</v>
      </c>
      <c r="B375" s="170" t="s">
        <v>1042</v>
      </c>
      <c r="C375" s="170" t="s">
        <v>542</v>
      </c>
      <c r="D375" s="170" t="s">
        <v>259</v>
      </c>
      <c r="E375" s="170">
        <v>30000</v>
      </c>
      <c r="F375" s="454">
        <f t="shared" si="5"/>
        <v>56.031826077211861</v>
      </c>
      <c r="G375" s="239">
        <v>535.41</v>
      </c>
      <c r="H375" s="170" t="s">
        <v>131</v>
      </c>
      <c r="I375" s="170" t="s">
        <v>671</v>
      </c>
      <c r="J375" s="170" t="s">
        <v>96</v>
      </c>
      <c r="K375" s="170" t="s">
        <v>345</v>
      </c>
      <c r="L375" s="170" t="s">
        <v>113</v>
      </c>
      <c r="M375" s="75"/>
      <c r="N375" s="75"/>
      <c r="O375" s="75"/>
    </row>
    <row r="376" spans="1:15">
      <c r="A376" s="457">
        <v>46097</v>
      </c>
      <c r="B376" s="242" t="s">
        <v>1027</v>
      </c>
      <c r="C376" s="170" t="s">
        <v>337</v>
      </c>
      <c r="D376" s="242" t="s">
        <v>259</v>
      </c>
      <c r="E376" s="242">
        <v>500</v>
      </c>
      <c r="F376" s="454">
        <f t="shared" si="5"/>
        <v>0.93386376795353099</v>
      </c>
      <c r="G376" s="239">
        <v>535.41</v>
      </c>
      <c r="H376" s="242" t="s">
        <v>131</v>
      </c>
      <c r="I376" s="242" t="s">
        <v>653</v>
      </c>
      <c r="J376" s="170" t="s">
        <v>96</v>
      </c>
      <c r="K376" s="170" t="s">
        <v>345</v>
      </c>
      <c r="L376" s="170" t="s">
        <v>113</v>
      </c>
      <c r="M376" s="75"/>
      <c r="N376" s="75"/>
      <c r="O376" s="75"/>
    </row>
    <row r="377" spans="1:15">
      <c r="A377" s="453">
        <v>46097</v>
      </c>
      <c r="B377" s="170" t="s">
        <v>1028</v>
      </c>
      <c r="C377" s="242" t="s">
        <v>402</v>
      </c>
      <c r="D377" s="170" t="s">
        <v>259</v>
      </c>
      <c r="E377" s="170">
        <v>9000</v>
      </c>
      <c r="F377" s="454">
        <f t="shared" si="5"/>
        <v>16.809547823163559</v>
      </c>
      <c r="G377" s="239">
        <v>535.41</v>
      </c>
      <c r="H377" s="170" t="s">
        <v>131</v>
      </c>
      <c r="I377" s="170" t="s">
        <v>672</v>
      </c>
      <c r="J377" s="170" t="s">
        <v>96</v>
      </c>
      <c r="K377" s="170" t="s">
        <v>345</v>
      </c>
      <c r="L377" s="170" t="s">
        <v>113</v>
      </c>
      <c r="M377" s="75"/>
      <c r="N377" s="75"/>
      <c r="O377" s="75"/>
    </row>
    <row r="378" spans="1:15">
      <c r="A378" s="453">
        <v>46097</v>
      </c>
      <c r="B378" s="170" t="s">
        <v>1028</v>
      </c>
      <c r="C378" s="242" t="s">
        <v>402</v>
      </c>
      <c r="D378" s="170" t="s">
        <v>259</v>
      </c>
      <c r="E378" s="170">
        <v>4000</v>
      </c>
      <c r="F378" s="454">
        <f t="shared" si="5"/>
        <v>7.4709101436282479</v>
      </c>
      <c r="G378" s="239">
        <v>535.41</v>
      </c>
      <c r="H378" s="170" t="s">
        <v>131</v>
      </c>
      <c r="I378" s="170" t="s">
        <v>673</v>
      </c>
      <c r="J378" s="170" t="s">
        <v>96</v>
      </c>
      <c r="K378" s="170" t="s">
        <v>345</v>
      </c>
      <c r="L378" s="170" t="s">
        <v>113</v>
      </c>
      <c r="M378" s="75"/>
      <c r="N378" s="75"/>
      <c r="O378" s="75"/>
    </row>
    <row r="379" spans="1:15">
      <c r="A379" s="457">
        <v>46097</v>
      </c>
      <c r="B379" s="242" t="s">
        <v>1031</v>
      </c>
      <c r="C379" s="170" t="s">
        <v>337</v>
      </c>
      <c r="D379" s="242" t="s">
        <v>259</v>
      </c>
      <c r="E379" s="242">
        <v>1000</v>
      </c>
      <c r="F379" s="454">
        <f t="shared" si="5"/>
        <v>1.867727535907062</v>
      </c>
      <c r="G379" s="239">
        <v>535.41</v>
      </c>
      <c r="H379" s="242" t="s">
        <v>131</v>
      </c>
      <c r="I379" s="242" t="s">
        <v>653</v>
      </c>
      <c r="J379" s="170" t="s">
        <v>96</v>
      </c>
      <c r="K379" s="170" t="s">
        <v>345</v>
      </c>
      <c r="L379" s="170" t="s">
        <v>113</v>
      </c>
      <c r="M379" s="75"/>
      <c r="N379" s="75"/>
      <c r="O379" s="75"/>
    </row>
    <row r="380" spans="1:15">
      <c r="A380" s="457">
        <v>46097</v>
      </c>
      <c r="B380" s="242" t="s">
        <v>1031</v>
      </c>
      <c r="C380" s="170" t="s">
        <v>337</v>
      </c>
      <c r="D380" s="242" t="s">
        <v>259</v>
      </c>
      <c r="E380" s="242">
        <v>500</v>
      </c>
      <c r="F380" s="454">
        <f t="shared" si="5"/>
        <v>0.93386376795353099</v>
      </c>
      <c r="G380" s="239">
        <v>535.41</v>
      </c>
      <c r="H380" s="242" t="s">
        <v>131</v>
      </c>
      <c r="I380" s="242" t="s">
        <v>653</v>
      </c>
      <c r="J380" s="170" t="s">
        <v>96</v>
      </c>
      <c r="K380" s="170" t="s">
        <v>345</v>
      </c>
      <c r="L380" s="170" t="s">
        <v>113</v>
      </c>
      <c r="M380" s="75"/>
      <c r="N380" s="75"/>
      <c r="O380" s="75"/>
    </row>
    <row r="381" spans="1:15">
      <c r="A381" s="457">
        <v>46097</v>
      </c>
      <c r="B381" s="242" t="s">
        <v>1027</v>
      </c>
      <c r="C381" s="170" t="s">
        <v>337</v>
      </c>
      <c r="D381" s="242" t="s">
        <v>259</v>
      </c>
      <c r="E381" s="242">
        <v>500</v>
      </c>
      <c r="F381" s="454">
        <f t="shared" si="5"/>
        <v>0.93386376795353099</v>
      </c>
      <c r="G381" s="239">
        <v>535.41</v>
      </c>
      <c r="H381" s="242" t="s">
        <v>131</v>
      </c>
      <c r="I381" s="242" t="s">
        <v>653</v>
      </c>
      <c r="J381" s="170" t="s">
        <v>96</v>
      </c>
      <c r="K381" s="170" t="s">
        <v>345</v>
      </c>
      <c r="L381" s="170" t="s">
        <v>113</v>
      </c>
      <c r="M381" s="75"/>
      <c r="N381" s="75"/>
      <c r="O381" s="75"/>
    </row>
    <row r="382" spans="1:15">
      <c r="A382" s="457">
        <v>46097</v>
      </c>
      <c r="B382" s="242" t="s">
        <v>768</v>
      </c>
      <c r="C382" s="170" t="s">
        <v>337</v>
      </c>
      <c r="D382" s="469" t="s">
        <v>100</v>
      </c>
      <c r="E382" s="299">
        <v>1000</v>
      </c>
      <c r="F382" s="454">
        <f t="shared" si="5"/>
        <v>1.867727535907062</v>
      </c>
      <c r="G382" s="239">
        <v>535.41</v>
      </c>
      <c r="H382" s="242" t="s">
        <v>129</v>
      </c>
      <c r="I382" s="242" t="s">
        <v>792</v>
      </c>
      <c r="J382" s="170" t="s">
        <v>96</v>
      </c>
      <c r="K382" s="170" t="s">
        <v>345</v>
      </c>
      <c r="L382" s="170" t="s">
        <v>113</v>
      </c>
      <c r="M382" s="75"/>
      <c r="N382" s="75"/>
      <c r="O382" s="75"/>
    </row>
    <row r="383" spans="1:15">
      <c r="A383" s="457">
        <v>46097</v>
      </c>
      <c r="B383" s="242" t="s">
        <v>769</v>
      </c>
      <c r="C383" s="170" t="s">
        <v>337</v>
      </c>
      <c r="D383" s="469" t="s">
        <v>100</v>
      </c>
      <c r="E383" s="299">
        <v>1000</v>
      </c>
      <c r="F383" s="454">
        <f t="shared" si="5"/>
        <v>1.867727535907062</v>
      </c>
      <c r="G383" s="239">
        <v>535.41</v>
      </c>
      <c r="H383" s="242" t="s">
        <v>129</v>
      </c>
      <c r="I383" s="242" t="s">
        <v>792</v>
      </c>
      <c r="J383" s="170" t="s">
        <v>96</v>
      </c>
      <c r="K383" s="170" t="s">
        <v>345</v>
      </c>
      <c r="L383" s="170" t="s">
        <v>113</v>
      </c>
      <c r="M383" s="75"/>
      <c r="N383" s="75"/>
      <c r="O383" s="75"/>
    </row>
    <row r="384" spans="1:15">
      <c r="A384" s="457">
        <v>46097</v>
      </c>
      <c r="B384" s="242" t="s">
        <v>770</v>
      </c>
      <c r="C384" s="170" t="s">
        <v>337</v>
      </c>
      <c r="D384" s="469" t="s">
        <v>100</v>
      </c>
      <c r="E384" s="299">
        <v>1000</v>
      </c>
      <c r="F384" s="454">
        <f t="shared" si="5"/>
        <v>1.867727535907062</v>
      </c>
      <c r="G384" s="239">
        <v>535.41</v>
      </c>
      <c r="H384" s="242" t="s">
        <v>129</v>
      </c>
      <c r="I384" s="242" t="s">
        <v>792</v>
      </c>
      <c r="J384" s="170" t="s">
        <v>96</v>
      </c>
      <c r="K384" s="170" t="s">
        <v>345</v>
      </c>
      <c r="L384" s="170" t="s">
        <v>113</v>
      </c>
      <c r="M384" s="75"/>
      <c r="N384" s="75"/>
      <c r="O384" s="75"/>
    </row>
    <row r="385" spans="1:15">
      <c r="A385" s="457">
        <v>46097</v>
      </c>
      <c r="B385" s="242" t="s">
        <v>771</v>
      </c>
      <c r="C385" s="170" t="s">
        <v>337</v>
      </c>
      <c r="D385" s="469" t="s">
        <v>100</v>
      </c>
      <c r="E385" s="299">
        <v>1000</v>
      </c>
      <c r="F385" s="454">
        <f t="shared" si="5"/>
        <v>1.867727535907062</v>
      </c>
      <c r="G385" s="239">
        <v>535.41</v>
      </c>
      <c r="H385" s="242" t="s">
        <v>129</v>
      </c>
      <c r="I385" s="242" t="s">
        <v>792</v>
      </c>
      <c r="J385" s="170" t="s">
        <v>96</v>
      </c>
      <c r="K385" s="170" t="s">
        <v>345</v>
      </c>
      <c r="L385" s="170" t="s">
        <v>113</v>
      </c>
      <c r="M385" s="75"/>
      <c r="N385" s="75"/>
      <c r="O385" s="75"/>
    </row>
    <row r="386" spans="1:15">
      <c r="A386" s="457">
        <v>46097</v>
      </c>
      <c r="B386" s="242" t="s">
        <v>772</v>
      </c>
      <c r="C386" s="170" t="s">
        <v>337</v>
      </c>
      <c r="D386" s="469" t="s">
        <v>100</v>
      </c>
      <c r="E386" s="299">
        <v>1000</v>
      </c>
      <c r="F386" s="454">
        <f t="shared" ref="F386:F449" si="6">E386/G386</f>
        <v>1.867727535907062</v>
      </c>
      <c r="G386" s="239">
        <v>535.41</v>
      </c>
      <c r="H386" s="242" t="s">
        <v>129</v>
      </c>
      <c r="I386" s="242" t="s">
        <v>792</v>
      </c>
      <c r="J386" s="170" t="s">
        <v>96</v>
      </c>
      <c r="K386" s="170" t="s">
        <v>345</v>
      </c>
      <c r="L386" s="170" t="s">
        <v>113</v>
      </c>
      <c r="M386" s="75"/>
      <c r="N386" s="75"/>
      <c r="O386" s="75"/>
    </row>
    <row r="387" spans="1:15">
      <c r="A387" s="457">
        <v>46097</v>
      </c>
      <c r="B387" s="242" t="s">
        <v>773</v>
      </c>
      <c r="C387" s="170" t="s">
        <v>337</v>
      </c>
      <c r="D387" s="469" t="s">
        <v>100</v>
      </c>
      <c r="E387" s="299">
        <v>1000</v>
      </c>
      <c r="F387" s="454">
        <f t="shared" si="6"/>
        <v>1.867727535907062</v>
      </c>
      <c r="G387" s="239">
        <v>535.41</v>
      </c>
      <c r="H387" s="242" t="s">
        <v>129</v>
      </c>
      <c r="I387" s="242" t="s">
        <v>792</v>
      </c>
      <c r="J387" s="170" t="s">
        <v>96</v>
      </c>
      <c r="K387" s="170" t="s">
        <v>345</v>
      </c>
      <c r="L387" s="170" t="s">
        <v>113</v>
      </c>
      <c r="M387" s="75"/>
      <c r="N387" s="75"/>
      <c r="O387" s="75"/>
    </row>
    <row r="388" spans="1:15">
      <c r="A388" s="457">
        <v>46097</v>
      </c>
      <c r="B388" s="242" t="s">
        <v>774</v>
      </c>
      <c r="C388" s="170" t="s">
        <v>337</v>
      </c>
      <c r="D388" s="469" t="s">
        <v>100</v>
      </c>
      <c r="E388" s="299">
        <v>1000</v>
      </c>
      <c r="F388" s="454">
        <f t="shared" si="6"/>
        <v>1.867727535907062</v>
      </c>
      <c r="G388" s="239">
        <v>535.41</v>
      </c>
      <c r="H388" s="242" t="s">
        <v>129</v>
      </c>
      <c r="I388" s="242" t="s">
        <v>792</v>
      </c>
      <c r="J388" s="170" t="s">
        <v>96</v>
      </c>
      <c r="K388" s="170" t="s">
        <v>345</v>
      </c>
      <c r="L388" s="170" t="s">
        <v>113</v>
      </c>
      <c r="M388" s="75"/>
      <c r="N388" s="75"/>
      <c r="O388" s="75"/>
    </row>
    <row r="389" spans="1:15">
      <c r="A389" s="457">
        <v>46097</v>
      </c>
      <c r="B389" s="242" t="s">
        <v>775</v>
      </c>
      <c r="C389" s="170" t="s">
        <v>337</v>
      </c>
      <c r="D389" s="469" t="s">
        <v>100</v>
      </c>
      <c r="E389" s="299">
        <v>1000</v>
      </c>
      <c r="F389" s="454">
        <f t="shared" si="6"/>
        <v>1.867727535907062</v>
      </c>
      <c r="G389" s="239">
        <v>535.41</v>
      </c>
      <c r="H389" s="242" t="s">
        <v>129</v>
      </c>
      <c r="I389" s="242" t="s">
        <v>792</v>
      </c>
      <c r="J389" s="170" t="s">
        <v>96</v>
      </c>
      <c r="K389" s="170" t="s">
        <v>345</v>
      </c>
      <c r="L389" s="170" t="s">
        <v>113</v>
      </c>
      <c r="M389" s="75"/>
      <c r="N389" s="75"/>
      <c r="O389" s="75"/>
    </row>
    <row r="390" spans="1:15">
      <c r="A390" s="457">
        <v>46097</v>
      </c>
      <c r="B390" s="242" t="s">
        <v>776</v>
      </c>
      <c r="C390" s="170" t="s">
        <v>337</v>
      </c>
      <c r="D390" s="469" t="s">
        <v>100</v>
      </c>
      <c r="E390" s="299">
        <v>1000</v>
      </c>
      <c r="F390" s="454">
        <f t="shared" si="6"/>
        <v>1.867727535907062</v>
      </c>
      <c r="G390" s="239">
        <v>535.41</v>
      </c>
      <c r="H390" s="242" t="s">
        <v>129</v>
      </c>
      <c r="I390" s="242" t="s">
        <v>792</v>
      </c>
      <c r="J390" s="170" t="s">
        <v>96</v>
      </c>
      <c r="K390" s="170" t="s">
        <v>345</v>
      </c>
      <c r="L390" s="170" t="s">
        <v>113</v>
      </c>
      <c r="M390" s="75"/>
      <c r="N390" s="75"/>
      <c r="O390" s="75"/>
    </row>
    <row r="391" spans="1:15">
      <c r="A391" s="457">
        <v>46097</v>
      </c>
      <c r="B391" s="242" t="s">
        <v>777</v>
      </c>
      <c r="C391" s="170" t="s">
        <v>337</v>
      </c>
      <c r="D391" s="469" t="s">
        <v>100</v>
      </c>
      <c r="E391" s="299">
        <v>1000</v>
      </c>
      <c r="F391" s="454">
        <f t="shared" si="6"/>
        <v>1.867727535907062</v>
      </c>
      <c r="G391" s="239">
        <v>535.41</v>
      </c>
      <c r="H391" s="242" t="s">
        <v>129</v>
      </c>
      <c r="I391" s="242" t="s">
        <v>792</v>
      </c>
      <c r="J391" s="170" t="s">
        <v>96</v>
      </c>
      <c r="K391" s="170" t="s">
        <v>345</v>
      </c>
      <c r="L391" s="170" t="s">
        <v>113</v>
      </c>
      <c r="M391" s="75"/>
      <c r="N391" s="75"/>
      <c r="O391" s="75"/>
    </row>
    <row r="392" spans="1:15">
      <c r="A392" s="457">
        <v>46097</v>
      </c>
      <c r="B392" s="242" t="s">
        <v>778</v>
      </c>
      <c r="C392" s="170" t="s">
        <v>337</v>
      </c>
      <c r="D392" s="469" t="s">
        <v>100</v>
      </c>
      <c r="E392" s="299">
        <v>1000</v>
      </c>
      <c r="F392" s="454">
        <f t="shared" si="6"/>
        <v>1.867727535907062</v>
      </c>
      <c r="G392" s="239">
        <v>535.41</v>
      </c>
      <c r="H392" s="242" t="s">
        <v>129</v>
      </c>
      <c r="I392" s="242" t="s">
        <v>792</v>
      </c>
      <c r="J392" s="170" t="s">
        <v>96</v>
      </c>
      <c r="K392" s="170" t="s">
        <v>345</v>
      </c>
      <c r="L392" s="170" t="s">
        <v>113</v>
      </c>
      <c r="M392" s="75"/>
      <c r="N392" s="75"/>
      <c r="O392" s="75"/>
    </row>
    <row r="393" spans="1:15">
      <c r="A393" s="457">
        <v>46098</v>
      </c>
      <c r="B393" s="242" t="s">
        <v>353</v>
      </c>
      <c r="C393" s="242" t="s">
        <v>104</v>
      </c>
      <c r="D393" s="458" t="s">
        <v>99</v>
      </c>
      <c r="E393" s="460">
        <v>80500</v>
      </c>
      <c r="F393" s="454">
        <f t="shared" si="6"/>
        <v>151.11166315014682</v>
      </c>
      <c r="G393" s="239">
        <v>532.71864210781655</v>
      </c>
      <c r="H393" s="242" t="s">
        <v>111</v>
      </c>
      <c r="I393" s="170" t="s">
        <v>384</v>
      </c>
      <c r="J393" s="170" t="s">
        <v>96</v>
      </c>
      <c r="K393" s="170" t="s">
        <v>345</v>
      </c>
      <c r="L393" s="170" t="s">
        <v>113</v>
      </c>
      <c r="M393" s="361"/>
      <c r="N393" s="361"/>
      <c r="O393" s="271"/>
    </row>
    <row r="394" spans="1:15">
      <c r="A394" s="457">
        <v>46098</v>
      </c>
      <c r="B394" s="242" t="s">
        <v>354</v>
      </c>
      <c r="C394" s="242" t="s">
        <v>104</v>
      </c>
      <c r="D394" s="458" t="s">
        <v>99</v>
      </c>
      <c r="E394" s="460">
        <v>129464</v>
      </c>
      <c r="F394" s="454">
        <f t="shared" si="6"/>
        <v>243.02509761578398</v>
      </c>
      <c r="G394" s="239">
        <v>532.71864210781655</v>
      </c>
      <c r="H394" s="242" t="s">
        <v>111</v>
      </c>
      <c r="I394" s="170" t="s">
        <v>385</v>
      </c>
      <c r="J394" s="170" t="s">
        <v>96</v>
      </c>
      <c r="K394" s="170" t="s">
        <v>345</v>
      </c>
      <c r="L394" s="170" t="s">
        <v>113</v>
      </c>
      <c r="M394" s="361"/>
      <c r="N394" s="361"/>
      <c r="O394" s="271"/>
    </row>
    <row r="395" spans="1:15">
      <c r="A395" s="457">
        <v>46098</v>
      </c>
      <c r="B395" s="242" t="s">
        <v>186</v>
      </c>
      <c r="C395" s="170" t="s">
        <v>337</v>
      </c>
      <c r="D395" s="458" t="s">
        <v>99</v>
      </c>
      <c r="E395" s="242">
        <v>1000</v>
      </c>
      <c r="F395" s="454">
        <f t="shared" si="6"/>
        <v>1.8677282335885521</v>
      </c>
      <c r="G395" s="239">
        <v>535.40980000000002</v>
      </c>
      <c r="H395" s="459" t="s">
        <v>111</v>
      </c>
      <c r="I395" s="170" t="s">
        <v>380</v>
      </c>
      <c r="J395" s="170" t="s">
        <v>96</v>
      </c>
      <c r="K395" s="170" t="s">
        <v>345</v>
      </c>
      <c r="L395" s="170" t="s">
        <v>113</v>
      </c>
      <c r="M395" s="364"/>
      <c r="N395" s="364"/>
      <c r="O395" s="75"/>
    </row>
    <row r="396" spans="1:15">
      <c r="A396" s="457">
        <v>46098</v>
      </c>
      <c r="B396" s="242" t="s">
        <v>192</v>
      </c>
      <c r="C396" s="170" t="s">
        <v>337</v>
      </c>
      <c r="D396" s="458" t="s">
        <v>99</v>
      </c>
      <c r="E396" s="242">
        <v>1000</v>
      </c>
      <c r="F396" s="454">
        <f t="shared" si="6"/>
        <v>1.8677282335885521</v>
      </c>
      <c r="G396" s="239">
        <v>535.40980000000002</v>
      </c>
      <c r="H396" s="459" t="s">
        <v>111</v>
      </c>
      <c r="I396" s="170" t="s">
        <v>380</v>
      </c>
      <c r="J396" s="170" t="s">
        <v>96</v>
      </c>
      <c r="K396" s="170" t="s">
        <v>345</v>
      </c>
      <c r="L396" s="170" t="s">
        <v>113</v>
      </c>
      <c r="M396" s="364"/>
      <c r="N396" s="364"/>
      <c r="O396" s="75"/>
    </row>
    <row r="397" spans="1:15">
      <c r="A397" s="453">
        <v>46098</v>
      </c>
      <c r="B397" s="242" t="s">
        <v>455</v>
      </c>
      <c r="C397" s="242" t="s">
        <v>130</v>
      </c>
      <c r="D397" s="242" t="s">
        <v>98</v>
      </c>
      <c r="E397" s="460">
        <v>40000</v>
      </c>
      <c r="F397" s="454">
        <f t="shared" si="6"/>
        <v>74.709101436282481</v>
      </c>
      <c r="G397" s="239">
        <v>535.41</v>
      </c>
      <c r="H397" s="242" t="s">
        <v>168</v>
      </c>
      <c r="I397" s="170" t="s">
        <v>517</v>
      </c>
      <c r="J397" s="170" t="s">
        <v>96</v>
      </c>
      <c r="K397" s="170" t="s">
        <v>345</v>
      </c>
      <c r="L397" s="170" t="s">
        <v>113</v>
      </c>
      <c r="M397" s="75"/>
      <c r="N397" s="75"/>
      <c r="O397" s="75"/>
    </row>
    <row r="398" spans="1:15">
      <c r="A398" s="457">
        <v>46098</v>
      </c>
      <c r="B398" s="242" t="s">
        <v>456</v>
      </c>
      <c r="C398" s="242" t="s">
        <v>103</v>
      </c>
      <c r="D398" s="242" t="s">
        <v>98</v>
      </c>
      <c r="E398" s="460">
        <v>40613</v>
      </c>
      <c r="F398" s="454">
        <f t="shared" si="6"/>
        <v>75.854018415793504</v>
      </c>
      <c r="G398" s="239">
        <v>535.41</v>
      </c>
      <c r="H398" s="242" t="s">
        <v>168</v>
      </c>
      <c r="I398" s="170" t="s">
        <v>518</v>
      </c>
      <c r="J398" s="170" t="s">
        <v>96</v>
      </c>
      <c r="K398" s="170" t="s">
        <v>345</v>
      </c>
      <c r="L398" s="170" t="s">
        <v>113</v>
      </c>
      <c r="M398" s="75"/>
      <c r="N398" s="75"/>
      <c r="O398" s="75"/>
    </row>
    <row r="399" spans="1:15">
      <c r="A399" s="467">
        <v>46098</v>
      </c>
      <c r="B399" s="242" t="s">
        <v>457</v>
      </c>
      <c r="C399" s="170" t="s">
        <v>337</v>
      </c>
      <c r="D399" s="242" t="s">
        <v>98</v>
      </c>
      <c r="E399" s="298">
        <v>1000</v>
      </c>
      <c r="F399" s="454">
        <f t="shared" si="6"/>
        <v>1.867727535907062</v>
      </c>
      <c r="G399" s="239">
        <v>535.41</v>
      </c>
      <c r="H399" s="242" t="s">
        <v>168</v>
      </c>
      <c r="I399" s="242" t="s">
        <v>510</v>
      </c>
      <c r="J399" s="170" t="s">
        <v>96</v>
      </c>
      <c r="K399" s="170" t="s">
        <v>345</v>
      </c>
      <c r="L399" s="170" t="s">
        <v>113</v>
      </c>
      <c r="M399" s="75"/>
      <c r="N399" s="75"/>
      <c r="O399" s="75"/>
    </row>
    <row r="400" spans="1:15">
      <c r="A400" s="467">
        <v>46098</v>
      </c>
      <c r="B400" s="242" t="s">
        <v>458</v>
      </c>
      <c r="C400" s="170" t="s">
        <v>337</v>
      </c>
      <c r="D400" s="242" t="s">
        <v>98</v>
      </c>
      <c r="E400" s="298">
        <v>1000</v>
      </c>
      <c r="F400" s="454">
        <f t="shared" si="6"/>
        <v>1.867727535907062</v>
      </c>
      <c r="G400" s="239">
        <v>535.41</v>
      </c>
      <c r="H400" s="242" t="s">
        <v>168</v>
      </c>
      <c r="I400" s="242" t="s">
        <v>510</v>
      </c>
      <c r="J400" s="170" t="s">
        <v>96</v>
      </c>
      <c r="K400" s="170" t="s">
        <v>345</v>
      </c>
      <c r="L400" s="170" t="s">
        <v>113</v>
      </c>
      <c r="M400" s="75"/>
      <c r="N400" s="75"/>
      <c r="O400" s="75"/>
    </row>
    <row r="401" spans="1:15">
      <c r="A401" s="467">
        <v>46098</v>
      </c>
      <c r="B401" s="242" t="s">
        <v>459</v>
      </c>
      <c r="C401" s="170" t="s">
        <v>337</v>
      </c>
      <c r="D401" s="242" t="s">
        <v>98</v>
      </c>
      <c r="E401" s="298">
        <v>1000</v>
      </c>
      <c r="F401" s="454">
        <f t="shared" si="6"/>
        <v>1.867727535907062</v>
      </c>
      <c r="G401" s="239">
        <v>535.41</v>
      </c>
      <c r="H401" s="242" t="s">
        <v>168</v>
      </c>
      <c r="I401" s="242" t="s">
        <v>510</v>
      </c>
      <c r="J401" s="170" t="s">
        <v>96</v>
      </c>
      <c r="K401" s="170" t="s">
        <v>345</v>
      </c>
      <c r="L401" s="170" t="s">
        <v>113</v>
      </c>
      <c r="M401" s="75"/>
      <c r="N401" s="75"/>
      <c r="O401" s="75"/>
    </row>
    <row r="402" spans="1:15">
      <c r="A402" s="467">
        <v>46098</v>
      </c>
      <c r="B402" s="242" t="s">
        <v>460</v>
      </c>
      <c r="C402" s="170" t="s">
        <v>337</v>
      </c>
      <c r="D402" s="242" t="s">
        <v>98</v>
      </c>
      <c r="E402" s="298">
        <v>1000</v>
      </c>
      <c r="F402" s="454">
        <f t="shared" si="6"/>
        <v>1.867727535907062</v>
      </c>
      <c r="G402" s="239">
        <v>535.41</v>
      </c>
      <c r="H402" s="242" t="s">
        <v>168</v>
      </c>
      <c r="I402" s="242" t="s">
        <v>510</v>
      </c>
      <c r="J402" s="170" t="s">
        <v>96</v>
      </c>
      <c r="K402" s="170" t="s">
        <v>345</v>
      </c>
      <c r="L402" s="170" t="s">
        <v>113</v>
      </c>
      <c r="M402" s="75"/>
      <c r="N402" s="75"/>
      <c r="O402" s="75"/>
    </row>
    <row r="403" spans="1:15">
      <c r="A403" s="428">
        <v>46098</v>
      </c>
      <c r="B403" s="429" t="s">
        <v>1051</v>
      </c>
      <c r="C403" s="429" t="s">
        <v>542</v>
      </c>
      <c r="D403" s="429" t="s">
        <v>259</v>
      </c>
      <c r="E403" s="429">
        <v>30000</v>
      </c>
      <c r="F403" s="454">
        <f t="shared" si="6"/>
        <v>56.031826077211861</v>
      </c>
      <c r="G403" s="239">
        <v>535.41</v>
      </c>
      <c r="H403" s="429" t="s">
        <v>123</v>
      </c>
      <c r="I403" s="429" t="s">
        <v>563</v>
      </c>
      <c r="J403" s="170" t="s">
        <v>96</v>
      </c>
      <c r="K403" s="170" t="s">
        <v>345</v>
      </c>
      <c r="L403" s="170" t="s">
        <v>113</v>
      </c>
      <c r="M403" s="75"/>
      <c r="N403" s="75"/>
      <c r="O403" s="75"/>
    </row>
    <row r="404" spans="1:15">
      <c r="A404" s="428">
        <v>46098</v>
      </c>
      <c r="B404" s="429" t="s">
        <v>1028</v>
      </c>
      <c r="C404" s="242" t="s">
        <v>402</v>
      </c>
      <c r="D404" s="429" t="s">
        <v>259</v>
      </c>
      <c r="E404" s="429">
        <v>9000</v>
      </c>
      <c r="F404" s="454">
        <f t="shared" si="6"/>
        <v>16.809547823163559</v>
      </c>
      <c r="G404" s="239">
        <v>535.41</v>
      </c>
      <c r="H404" s="429" t="s">
        <v>123</v>
      </c>
      <c r="I404" s="429" t="s">
        <v>564</v>
      </c>
      <c r="J404" s="170" t="s">
        <v>96</v>
      </c>
      <c r="K404" s="170" t="s">
        <v>345</v>
      </c>
      <c r="L404" s="170" t="s">
        <v>113</v>
      </c>
      <c r="M404" s="75"/>
      <c r="N404" s="75"/>
      <c r="O404" s="75"/>
    </row>
    <row r="405" spans="1:15">
      <c r="A405" s="428">
        <v>46098</v>
      </c>
      <c r="B405" s="429" t="s">
        <v>1033</v>
      </c>
      <c r="C405" s="170" t="s">
        <v>337</v>
      </c>
      <c r="D405" s="429" t="s">
        <v>259</v>
      </c>
      <c r="E405" s="429">
        <v>1000</v>
      </c>
      <c r="F405" s="454">
        <f t="shared" si="6"/>
        <v>1.867727535907062</v>
      </c>
      <c r="G405" s="239">
        <v>535.41</v>
      </c>
      <c r="H405" s="429" t="s">
        <v>123</v>
      </c>
      <c r="I405" s="429" t="s">
        <v>550</v>
      </c>
      <c r="J405" s="170" t="s">
        <v>96</v>
      </c>
      <c r="K405" s="170" t="s">
        <v>345</v>
      </c>
      <c r="L405" s="170" t="s">
        <v>113</v>
      </c>
      <c r="M405" s="75"/>
      <c r="N405" s="75"/>
      <c r="O405" s="75"/>
    </row>
    <row r="406" spans="1:15">
      <c r="A406" s="428">
        <v>46098</v>
      </c>
      <c r="B406" s="429" t="s">
        <v>1033</v>
      </c>
      <c r="C406" s="170" t="s">
        <v>337</v>
      </c>
      <c r="D406" s="429" t="s">
        <v>259</v>
      </c>
      <c r="E406" s="429">
        <v>1500</v>
      </c>
      <c r="F406" s="454">
        <f t="shared" si="6"/>
        <v>2.8015913038605929</v>
      </c>
      <c r="G406" s="239">
        <v>535.41</v>
      </c>
      <c r="H406" s="429" t="s">
        <v>123</v>
      </c>
      <c r="I406" s="429" t="s">
        <v>550</v>
      </c>
      <c r="J406" s="170" t="s">
        <v>96</v>
      </c>
      <c r="K406" s="170" t="s">
        <v>345</v>
      </c>
      <c r="L406" s="170" t="s">
        <v>113</v>
      </c>
      <c r="M406" s="75"/>
      <c r="N406" s="75"/>
      <c r="O406" s="75"/>
    </row>
    <row r="407" spans="1:15">
      <c r="A407" s="457">
        <v>46098</v>
      </c>
      <c r="B407" s="242" t="s">
        <v>1091</v>
      </c>
      <c r="C407" s="170" t="s">
        <v>337</v>
      </c>
      <c r="D407" s="242" t="s">
        <v>259</v>
      </c>
      <c r="E407" s="242">
        <v>500</v>
      </c>
      <c r="F407" s="454">
        <f t="shared" si="6"/>
        <v>0.93386376795353099</v>
      </c>
      <c r="G407" s="239">
        <v>535.41</v>
      </c>
      <c r="H407" s="242" t="s">
        <v>122</v>
      </c>
      <c r="I407" s="242" t="s">
        <v>594</v>
      </c>
      <c r="J407" s="170" t="s">
        <v>96</v>
      </c>
      <c r="K407" s="170" t="s">
        <v>345</v>
      </c>
      <c r="L407" s="170" t="s">
        <v>113</v>
      </c>
      <c r="M407" s="75"/>
      <c r="N407" s="75"/>
      <c r="O407" s="75"/>
    </row>
    <row r="408" spans="1:15">
      <c r="A408" s="457">
        <v>46098</v>
      </c>
      <c r="B408" s="242" t="s">
        <v>1060</v>
      </c>
      <c r="C408" s="170" t="s">
        <v>337</v>
      </c>
      <c r="D408" s="242" t="s">
        <v>259</v>
      </c>
      <c r="E408" s="242">
        <v>500</v>
      </c>
      <c r="F408" s="454">
        <f t="shared" si="6"/>
        <v>0.93386376795353099</v>
      </c>
      <c r="G408" s="239">
        <v>535.41</v>
      </c>
      <c r="H408" s="242" t="s">
        <v>122</v>
      </c>
      <c r="I408" s="242" t="s">
        <v>594</v>
      </c>
      <c r="J408" s="170" t="s">
        <v>96</v>
      </c>
      <c r="K408" s="170" t="s">
        <v>345</v>
      </c>
      <c r="L408" s="170" t="s">
        <v>113</v>
      </c>
      <c r="M408" s="75"/>
      <c r="N408" s="75"/>
      <c r="O408" s="75"/>
    </row>
    <row r="409" spans="1:15">
      <c r="A409" s="457">
        <v>46098</v>
      </c>
      <c r="B409" s="242" t="s">
        <v>1060</v>
      </c>
      <c r="C409" s="170" t="s">
        <v>337</v>
      </c>
      <c r="D409" s="242" t="s">
        <v>259</v>
      </c>
      <c r="E409" s="242">
        <v>500</v>
      </c>
      <c r="F409" s="454">
        <f t="shared" si="6"/>
        <v>0.93386376795353099</v>
      </c>
      <c r="G409" s="239">
        <v>535.41</v>
      </c>
      <c r="H409" s="242" t="s">
        <v>122</v>
      </c>
      <c r="I409" s="242" t="s">
        <v>594</v>
      </c>
      <c r="J409" s="170" t="s">
        <v>96</v>
      </c>
      <c r="K409" s="170" t="s">
        <v>345</v>
      </c>
      <c r="L409" s="170" t="s">
        <v>113</v>
      </c>
      <c r="M409" s="75"/>
      <c r="N409" s="75"/>
      <c r="O409" s="75"/>
    </row>
    <row r="410" spans="1:15">
      <c r="A410" s="457">
        <v>46098</v>
      </c>
      <c r="B410" s="242" t="s">
        <v>1060</v>
      </c>
      <c r="C410" s="170" t="s">
        <v>337</v>
      </c>
      <c r="D410" s="242" t="s">
        <v>259</v>
      </c>
      <c r="E410" s="242">
        <v>500</v>
      </c>
      <c r="F410" s="454">
        <f t="shared" si="6"/>
        <v>0.93386376795353099</v>
      </c>
      <c r="G410" s="239">
        <v>535.41</v>
      </c>
      <c r="H410" s="242" t="s">
        <v>122</v>
      </c>
      <c r="I410" s="242" t="s">
        <v>594</v>
      </c>
      <c r="J410" s="170" t="s">
        <v>96</v>
      </c>
      <c r="K410" s="170" t="s">
        <v>345</v>
      </c>
      <c r="L410" s="170" t="s">
        <v>113</v>
      </c>
      <c r="M410" s="75"/>
      <c r="N410" s="75"/>
      <c r="O410" s="75"/>
    </row>
    <row r="411" spans="1:15">
      <c r="A411" s="457">
        <v>46098</v>
      </c>
      <c r="B411" s="242" t="s">
        <v>1059</v>
      </c>
      <c r="C411" s="170" t="s">
        <v>337</v>
      </c>
      <c r="D411" s="242" t="s">
        <v>259</v>
      </c>
      <c r="E411" s="242">
        <v>500</v>
      </c>
      <c r="F411" s="454">
        <f t="shared" si="6"/>
        <v>0.93386376795353099</v>
      </c>
      <c r="G411" s="239">
        <v>535.41</v>
      </c>
      <c r="H411" s="242" t="s">
        <v>122</v>
      </c>
      <c r="I411" s="242" t="s">
        <v>594</v>
      </c>
      <c r="J411" s="170" t="s">
        <v>96</v>
      </c>
      <c r="K411" s="170" t="s">
        <v>345</v>
      </c>
      <c r="L411" s="170" t="s">
        <v>113</v>
      </c>
      <c r="M411" s="75"/>
      <c r="N411" s="75"/>
      <c r="O411" s="75"/>
    </row>
    <row r="412" spans="1:15">
      <c r="A412" s="453">
        <v>46098</v>
      </c>
      <c r="B412" s="170" t="s">
        <v>1034</v>
      </c>
      <c r="C412" s="170" t="s">
        <v>406</v>
      </c>
      <c r="D412" s="170" t="s">
        <v>259</v>
      </c>
      <c r="E412" s="170">
        <v>10000</v>
      </c>
      <c r="F412" s="454">
        <f t="shared" si="6"/>
        <v>18.67727535907062</v>
      </c>
      <c r="G412" s="239">
        <v>535.41</v>
      </c>
      <c r="H412" s="170" t="s">
        <v>122</v>
      </c>
      <c r="I412" s="242" t="s">
        <v>618</v>
      </c>
      <c r="J412" s="170" t="s">
        <v>96</v>
      </c>
      <c r="K412" s="170" t="s">
        <v>345</v>
      </c>
      <c r="L412" s="170" t="s">
        <v>113</v>
      </c>
      <c r="M412" s="75"/>
      <c r="N412" s="75"/>
      <c r="O412" s="75"/>
    </row>
    <row r="413" spans="1:15">
      <c r="A413" s="457">
        <v>46098</v>
      </c>
      <c r="B413" s="242" t="s">
        <v>540</v>
      </c>
      <c r="C413" s="242" t="s">
        <v>541</v>
      </c>
      <c r="D413" s="242" t="s">
        <v>259</v>
      </c>
      <c r="E413" s="242">
        <v>2000</v>
      </c>
      <c r="F413" s="454">
        <f t="shared" si="6"/>
        <v>3.735455071814124</v>
      </c>
      <c r="G413" s="239">
        <v>535.41</v>
      </c>
      <c r="H413" s="242" t="s">
        <v>122</v>
      </c>
      <c r="I413" s="242" t="s">
        <v>596</v>
      </c>
      <c r="J413" s="170" t="s">
        <v>96</v>
      </c>
      <c r="K413" s="170" t="s">
        <v>345</v>
      </c>
      <c r="L413" s="170" t="s">
        <v>113</v>
      </c>
      <c r="M413" s="75"/>
      <c r="N413" s="75"/>
      <c r="O413" s="75"/>
    </row>
    <row r="414" spans="1:15">
      <c r="A414" s="457">
        <v>46098</v>
      </c>
      <c r="B414" s="242" t="s">
        <v>1092</v>
      </c>
      <c r="C414" s="170" t="s">
        <v>337</v>
      </c>
      <c r="D414" s="242" t="s">
        <v>259</v>
      </c>
      <c r="E414" s="242">
        <v>500</v>
      </c>
      <c r="F414" s="454">
        <f t="shared" si="6"/>
        <v>0.93386376795353099</v>
      </c>
      <c r="G414" s="239">
        <v>535.41</v>
      </c>
      <c r="H414" s="242" t="s">
        <v>122</v>
      </c>
      <c r="I414" s="242" t="s">
        <v>594</v>
      </c>
      <c r="J414" s="170" t="s">
        <v>96</v>
      </c>
      <c r="K414" s="170" t="s">
        <v>345</v>
      </c>
      <c r="L414" s="170" t="s">
        <v>113</v>
      </c>
      <c r="M414" s="75"/>
      <c r="N414" s="75"/>
      <c r="O414" s="75"/>
    </row>
    <row r="415" spans="1:15">
      <c r="A415" s="457">
        <v>46098</v>
      </c>
      <c r="B415" s="242" t="s">
        <v>1025</v>
      </c>
      <c r="C415" s="170" t="s">
        <v>337</v>
      </c>
      <c r="D415" s="242" t="s">
        <v>259</v>
      </c>
      <c r="E415" s="242">
        <v>500</v>
      </c>
      <c r="F415" s="454">
        <f t="shared" si="6"/>
        <v>0.93386376795353099</v>
      </c>
      <c r="G415" s="239">
        <v>535.41</v>
      </c>
      <c r="H415" s="242" t="s">
        <v>122</v>
      </c>
      <c r="I415" s="242" t="s">
        <v>594</v>
      </c>
      <c r="J415" s="170" t="s">
        <v>96</v>
      </c>
      <c r="K415" s="170" t="s">
        <v>345</v>
      </c>
      <c r="L415" s="170" t="s">
        <v>113</v>
      </c>
      <c r="M415" s="75"/>
      <c r="N415" s="75"/>
      <c r="O415" s="75"/>
    </row>
    <row r="416" spans="1:15">
      <c r="A416" s="453">
        <v>46098</v>
      </c>
      <c r="B416" s="170" t="s">
        <v>1035</v>
      </c>
      <c r="C416" s="242" t="s">
        <v>402</v>
      </c>
      <c r="D416" s="170" t="s">
        <v>259</v>
      </c>
      <c r="E416" s="170">
        <v>2000</v>
      </c>
      <c r="F416" s="454">
        <f t="shared" si="6"/>
        <v>3.735455071814124</v>
      </c>
      <c r="G416" s="239">
        <v>535.41</v>
      </c>
      <c r="H416" s="170" t="s">
        <v>122</v>
      </c>
      <c r="I416" s="242" t="s">
        <v>619</v>
      </c>
      <c r="J416" s="170" t="s">
        <v>96</v>
      </c>
      <c r="K416" s="170" t="s">
        <v>345</v>
      </c>
      <c r="L416" s="170" t="s">
        <v>113</v>
      </c>
      <c r="M416" s="75"/>
      <c r="N416" s="75"/>
      <c r="O416" s="75"/>
    </row>
    <row r="417" spans="1:15">
      <c r="A417" s="457">
        <v>46098</v>
      </c>
      <c r="B417" s="242" t="s">
        <v>1061</v>
      </c>
      <c r="C417" s="170" t="s">
        <v>337</v>
      </c>
      <c r="D417" s="242" t="s">
        <v>259</v>
      </c>
      <c r="E417" s="242">
        <v>500</v>
      </c>
      <c r="F417" s="454">
        <f t="shared" si="6"/>
        <v>0.93386376795353099</v>
      </c>
      <c r="G417" s="239">
        <v>535.41</v>
      </c>
      <c r="H417" s="242" t="s">
        <v>122</v>
      </c>
      <c r="I417" s="242" t="s">
        <v>594</v>
      </c>
      <c r="J417" s="170" t="s">
        <v>96</v>
      </c>
      <c r="K417" s="170" t="s">
        <v>345</v>
      </c>
      <c r="L417" s="170" t="s">
        <v>113</v>
      </c>
      <c r="M417" s="75"/>
      <c r="N417" s="75"/>
      <c r="O417" s="75"/>
    </row>
    <row r="418" spans="1:15">
      <c r="A418" s="453">
        <v>46098</v>
      </c>
      <c r="B418" s="170" t="s">
        <v>1055</v>
      </c>
      <c r="C418" s="170" t="s">
        <v>542</v>
      </c>
      <c r="D418" s="170" t="s">
        <v>259</v>
      </c>
      <c r="E418" s="170">
        <v>10000</v>
      </c>
      <c r="F418" s="454">
        <f t="shared" si="6"/>
        <v>18.67727535907062</v>
      </c>
      <c r="G418" s="239">
        <v>535.41</v>
      </c>
      <c r="H418" s="170" t="s">
        <v>131</v>
      </c>
      <c r="I418" s="170" t="s">
        <v>674</v>
      </c>
      <c r="J418" s="170" t="s">
        <v>96</v>
      </c>
      <c r="K418" s="170" t="s">
        <v>345</v>
      </c>
      <c r="L418" s="170" t="s">
        <v>113</v>
      </c>
      <c r="M418" s="75"/>
      <c r="N418" s="75"/>
      <c r="O418" s="75"/>
    </row>
    <row r="419" spans="1:15">
      <c r="A419" s="457">
        <v>46098</v>
      </c>
      <c r="B419" s="242" t="s">
        <v>1027</v>
      </c>
      <c r="C419" s="170" t="s">
        <v>337</v>
      </c>
      <c r="D419" s="242" t="s">
        <v>259</v>
      </c>
      <c r="E419" s="242">
        <v>1000</v>
      </c>
      <c r="F419" s="454">
        <f t="shared" si="6"/>
        <v>1.867727535907062</v>
      </c>
      <c r="G419" s="239">
        <v>535.41</v>
      </c>
      <c r="H419" s="242" t="s">
        <v>131</v>
      </c>
      <c r="I419" s="242" t="s">
        <v>653</v>
      </c>
      <c r="J419" s="170" t="s">
        <v>96</v>
      </c>
      <c r="K419" s="170" t="s">
        <v>345</v>
      </c>
      <c r="L419" s="170" t="s">
        <v>113</v>
      </c>
      <c r="M419" s="75"/>
      <c r="N419" s="75"/>
      <c r="O419" s="75"/>
    </row>
    <row r="420" spans="1:15">
      <c r="A420" s="453">
        <v>46098</v>
      </c>
      <c r="B420" s="170" t="s">
        <v>1028</v>
      </c>
      <c r="C420" s="242" t="s">
        <v>402</v>
      </c>
      <c r="D420" s="170" t="s">
        <v>259</v>
      </c>
      <c r="E420" s="170">
        <v>7000</v>
      </c>
      <c r="F420" s="454">
        <f t="shared" si="6"/>
        <v>13.074092751349434</v>
      </c>
      <c r="G420" s="239">
        <v>535.41</v>
      </c>
      <c r="H420" s="170" t="s">
        <v>131</v>
      </c>
      <c r="I420" s="170" t="s">
        <v>675</v>
      </c>
      <c r="J420" s="170" t="s">
        <v>96</v>
      </c>
      <c r="K420" s="170" t="s">
        <v>345</v>
      </c>
      <c r="L420" s="170" t="s">
        <v>113</v>
      </c>
      <c r="M420" s="75"/>
      <c r="N420" s="75"/>
      <c r="O420" s="75"/>
    </row>
    <row r="421" spans="1:15">
      <c r="A421" s="457">
        <v>46098</v>
      </c>
      <c r="B421" s="242" t="s">
        <v>1025</v>
      </c>
      <c r="C421" s="170" t="s">
        <v>337</v>
      </c>
      <c r="D421" s="242" t="s">
        <v>259</v>
      </c>
      <c r="E421" s="242">
        <v>2500</v>
      </c>
      <c r="F421" s="454">
        <f t="shared" si="6"/>
        <v>4.669318839767655</v>
      </c>
      <c r="G421" s="239">
        <v>535.41</v>
      </c>
      <c r="H421" s="242" t="s">
        <v>131</v>
      </c>
      <c r="I421" s="242" t="s">
        <v>653</v>
      </c>
      <c r="J421" s="170" t="s">
        <v>96</v>
      </c>
      <c r="K421" s="170" t="s">
        <v>345</v>
      </c>
      <c r="L421" s="170" t="s">
        <v>113</v>
      </c>
      <c r="M421" s="75"/>
      <c r="N421" s="75"/>
      <c r="O421" s="75"/>
    </row>
    <row r="422" spans="1:15">
      <c r="A422" s="457">
        <v>46099</v>
      </c>
      <c r="B422" s="242" t="s">
        <v>186</v>
      </c>
      <c r="C422" s="170" t="s">
        <v>337</v>
      </c>
      <c r="D422" s="458" t="s">
        <v>99</v>
      </c>
      <c r="E422" s="242">
        <v>1000</v>
      </c>
      <c r="F422" s="454">
        <f t="shared" si="6"/>
        <v>1.8677282335885521</v>
      </c>
      <c r="G422" s="239">
        <v>535.40980000000002</v>
      </c>
      <c r="H422" s="459" t="s">
        <v>111</v>
      </c>
      <c r="I422" s="170" t="s">
        <v>380</v>
      </c>
      <c r="J422" s="170" t="s">
        <v>96</v>
      </c>
      <c r="K422" s="170" t="s">
        <v>345</v>
      </c>
      <c r="L422" s="170" t="s">
        <v>113</v>
      </c>
      <c r="M422" s="364"/>
      <c r="N422" s="364"/>
      <c r="O422" s="75"/>
    </row>
    <row r="423" spans="1:15">
      <c r="A423" s="457">
        <v>46099</v>
      </c>
      <c r="B423" s="242" t="s">
        <v>369</v>
      </c>
      <c r="C423" s="170" t="s">
        <v>337</v>
      </c>
      <c r="D423" s="458" t="s">
        <v>99</v>
      </c>
      <c r="E423" s="242">
        <v>1000</v>
      </c>
      <c r="F423" s="454">
        <f t="shared" si="6"/>
        <v>1.9254803020356539</v>
      </c>
      <c r="G423" s="239">
        <v>519.35093749999999</v>
      </c>
      <c r="H423" s="459" t="s">
        <v>111</v>
      </c>
      <c r="I423" s="170" t="s">
        <v>380</v>
      </c>
      <c r="J423" s="170" t="s">
        <v>96</v>
      </c>
      <c r="K423" s="170" t="s">
        <v>345</v>
      </c>
      <c r="L423" s="170" t="s">
        <v>113</v>
      </c>
      <c r="M423" s="364"/>
      <c r="N423" s="364"/>
      <c r="O423" s="75"/>
    </row>
    <row r="424" spans="1:15">
      <c r="A424" s="457">
        <v>46099</v>
      </c>
      <c r="B424" s="242" t="s">
        <v>187</v>
      </c>
      <c r="C424" s="170" t="s">
        <v>337</v>
      </c>
      <c r="D424" s="458" t="s">
        <v>99</v>
      </c>
      <c r="E424" s="242">
        <v>1000</v>
      </c>
      <c r="F424" s="454">
        <f t="shared" si="6"/>
        <v>1.9254803020356539</v>
      </c>
      <c r="G424" s="239">
        <v>519.35093749999999</v>
      </c>
      <c r="H424" s="459" t="s">
        <v>111</v>
      </c>
      <c r="I424" s="170" t="s">
        <v>380</v>
      </c>
      <c r="J424" s="170" t="s">
        <v>96</v>
      </c>
      <c r="K424" s="170" t="s">
        <v>345</v>
      </c>
      <c r="L424" s="170" t="s">
        <v>113</v>
      </c>
      <c r="M424" s="364"/>
      <c r="N424" s="364"/>
      <c r="O424" s="75"/>
    </row>
    <row r="425" spans="1:15" s="246" customFormat="1">
      <c r="A425" s="453">
        <v>46099</v>
      </c>
      <c r="B425" s="456" t="s">
        <v>370</v>
      </c>
      <c r="C425" s="170" t="s">
        <v>110</v>
      </c>
      <c r="D425" s="232" t="s">
        <v>99</v>
      </c>
      <c r="E425" s="170">
        <v>10000</v>
      </c>
      <c r="F425" s="454">
        <f t="shared" si="6"/>
        <v>19.25480302035654</v>
      </c>
      <c r="G425" s="239">
        <v>519.35093749999999</v>
      </c>
      <c r="H425" s="455" t="s">
        <v>111</v>
      </c>
      <c r="I425" s="170" t="s">
        <v>390</v>
      </c>
      <c r="J425" s="170" t="s">
        <v>96</v>
      </c>
      <c r="K425" s="170" t="s">
        <v>345</v>
      </c>
      <c r="L425" s="170" t="s">
        <v>113</v>
      </c>
      <c r="M425" s="361"/>
      <c r="N425" s="361"/>
      <c r="O425" s="271"/>
    </row>
    <row r="426" spans="1:15">
      <c r="A426" s="461">
        <v>46099</v>
      </c>
      <c r="B426" s="462" t="s">
        <v>397</v>
      </c>
      <c r="C426" s="462" t="s">
        <v>110</v>
      </c>
      <c r="D426" s="463" t="s">
        <v>97</v>
      </c>
      <c r="E426" s="464">
        <v>7500</v>
      </c>
      <c r="F426" s="454">
        <f t="shared" si="6"/>
        <v>14.007956519302965</v>
      </c>
      <c r="G426" s="239">
        <v>535.41</v>
      </c>
      <c r="H426" s="165" t="s">
        <v>128</v>
      </c>
      <c r="I426" s="464" t="s">
        <v>428</v>
      </c>
      <c r="J426" s="170" t="s">
        <v>96</v>
      </c>
      <c r="K426" s="170" t="s">
        <v>345</v>
      </c>
      <c r="L426" s="170" t="s">
        <v>113</v>
      </c>
      <c r="M426" s="75"/>
      <c r="N426" s="75"/>
      <c r="O426" s="75"/>
    </row>
    <row r="427" spans="1:15">
      <c r="A427" s="457">
        <v>46099</v>
      </c>
      <c r="B427" s="242" t="s">
        <v>461</v>
      </c>
      <c r="C427" s="242" t="s">
        <v>242</v>
      </c>
      <c r="D427" s="242" t="s">
        <v>98</v>
      </c>
      <c r="E427" s="460">
        <v>45050</v>
      </c>
      <c r="F427" s="454">
        <f t="shared" si="6"/>
        <v>84.141125492613142</v>
      </c>
      <c r="G427" s="239">
        <v>535.41</v>
      </c>
      <c r="H427" s="242" t="s">
        <v>168</v>
      </c>
      <c r="I427" s="170" t="s">
        <v>519</v>
      </c>
      <c r="J427" s="170" t="s">
        <v>96</v>
      </c>
      <c r="K427" s="170" t="s">
        <v>345</v>
      </c>
      <c r="L427" s="170" t="s">
        <v>113</v>
      </c>
      <c r="M427" s="75"/>
      <c r="N427" s="75"/>
      <c r="O427" s="75"/>
    </row>
    <row r="428" spans="1:15">
      <c r="A428" s="457">
        <v>46099</v>
      </c>
      <c r="B428" s="242" t="s">
        <v>462</v>
      </c>
      <c r="C428" s="242" t="s">
        <v>463</v>
      </c>
      <c r="D428" s="242" t="s">
        <v>98</v>
      </c>
      <c r="E428" s="460">
        <v>3150</v>
      </c>
      <c r="F428" s="454">
        <f t="shared" si="6"/>
        <v>5.8833417381072453</v>
      </c>
      <c r="G428" s="239">
        <v>535.41</v>
      </c>
      <c r="H428" s="242" t="s">
        <v>168</v>
      </c>
      <c r="I428" s="170" t="s">
        <v>520</v>
      </c>
      <c r="J428" s="170" t="s">
        <v>96</v>
      </c>
      <c r="K428" s="170" t="s">
        <v>345</v>
      </c>
      <c r="L428" s="170" t="s">
        <v>113</v>
      </c>
      <c r="M428" s="75"/>
      <c r="N428" s="75"/>
      <c r="O428" s="75"/>
    </row>
    <row r="429" spans="1:15">
      <c r="A429" s="457">
        <v>46099</v>
      </c>
      <c r="B429" s="242" t="s">
        <v>464</v>
      </c>
      <c r="C429" s="242" t="s">
        <v>463</v>
      </c>
      <c r="D429" s="242" t="s">
        <v>98</v>
      </c>
      <c r="E429" s="460">
        <v>7710</v>
      </c>
      <c r="F429" s="454">
        <f t="shared" si="6"/>
        <v>14.400179301843448</v>
      </c>
      <c r="G429" s="239">
        <v>535.41</v>
      </c>
      <c r="H429" s="242" t="s">
        <v>168</v>
      </c>
      <c r="I429" s="170" t="s">
        <v>521</v>
      </c>
      <c r="J429" s="170" t="s">
        <v>96</v>
      </c>
      <c r="K429" s="170" t="s">
        <v>345</v>
      </c>
      <c r="L429" s="170" t="s">
        <v>113</v>
      </c>
      <c r="M429" s="75"/>
      <c r="N429" s="75"/>
      <c r="O429" s="75"/>
    </row>
    <row r="430" spans="1:15">
      <c r="A430" s="467">
        <v>46099</v>
      </c>
      <c r="B430" s="242" t="s">
        <v>465</v>
      </c>
      <c r="C430" s="170" t="s">
        <v>337</v>
      </c>
      <c r="D430" s="242" t="s">
        <v>98</v>
      </c>
      <c r="E430" s="298">
        <v>500</v>
      </c>
      <c r="F430" s="454">
        <f t="shared" si="6"/>
        <v>0.93386376795353099</v>
      </c>
      <c r="G430" s="239">
        <v>535.41</v>
      </c>
      <c r="H430" s="242" t="s">
        <v>168</v>
      </c>
      <c r="I430" s="242" t="s">
        <v>510</v>
      </c>
      <c r="J430" s="170" t="s">
        <v>96</v>
      </c>
      <c r="K430" s="170" t="s">
        <v>345</v>
      </c>
      <c r="L430" s="170" t="s">
        <v>113</v>
      </c>
      <c r="M430" s="75"/>
      <c r="N430" s="75"/>
      <c r="O430" s="75"/>
    </row>
    <row r="431" spans="1:15">
      <c r="A431" s="467">
        <v>46099</v>
      </c>
      <c r="B431" s="242" t="s">
        <v>466</v>
      </c>
      <c r="C431" s="170" t="s">
        <v>337</v>
      </c>
      <c r="D431" s="242" t="s">
        <v>98</v>
      </c>
      <c r="E431" s="298">
        <v>500</v>
      </c>
      <c r="F431" s="454">
        <f t="shared" si="6"/>
        <v>0.93386376795353099</v>
      </c>
      <c r="G431" s="239">
        <v>535.41</v>
      </c>
      <c r="H431" s="242" t="s">
        <v>168</v>
      </c>
      <c r="I431" s="242" t="s">
        <v>510</v>
      </c>
      <c r="J431" s="170" t="s">
        <v>96</v>
      </c>
      <c r="K431" s="170" t="s">
        <v>345</v>
      </c>
      <c r="L431" s="170" t="s">
        <v>113</v>
      </c>
      <c r="M431" s="75"/>
      <c r="N431" s="75"/>
      <c r="O431" s="75"/>
    </row>
    <row r="432" spans="1:15">
      <c r="A432" s="467">
        <v>46099</v>
      </c>
      <c r="B432" s="242" t="s">
        <v>467</v>
      </c>
      <c r="C432" s="170" t="s">
        <v>337</v>
      </c>
      <c r="D432" s="242" t="s">
        <v>98</v>
      </c>
      <c r="E432" s="298">
        <v>1000</v>
      </c>
      <c r="F432" s="454">
        <f t="shared" si="6"/>
        <v>1.867727535907062</v>
      </c>
      <c r="G432" s="239">
        <v>535.41</v>
      </c>
      <c r="H432" s="242" t="s">
        <v>168</v>
      </c>
      <c r="I432" s="242" t="s">
        <v>510</v>
      </c>
      <c r="J432" s="170" t="s">
        <v>96</v>
      </c>
      <c r="K432" s="170" t="s">
        <v>345</v>
      </c>
      <c r="L432" s="170" t="s">
        <v>113</v>
      </c>
      <c r="M432" s="75"/>
      <c r="N432" s="75"/>
      <c r="O432" s="75"/>
    </row>
    <row r="433" spans="1:15">
      <c r="A433" s="467">
        <v>46099</v>
      </c>
      <c r="B433" s="242" t="s">
        <v>468</v>
      </c>
      <c r="C433" s="170" t="s">
        <v>337</v>
      </c>
      <c r="D433" s="242" t="s">
        <v>98</v>
      </c>
      <c r="E433" s="298">
        <v>1000</v>
      </c>
      <c r="F433" s="454">
        <f t="shared" si="6"/>
        <v>1.867727535907062</v>
      </c>
      <c r="G433" s="239">
        <v>535.41</v>
      </c>
      <c r="H433" s="242" t="s">
        <v>168</v>
      </c>
      <c r="I433" s="242" t="s">
        <v>510</v>
      </c>
      <c r="J433" s="170" t="s">
        <v>96</v>
      </c>
      <c r="K433" s="170" t="s">
        <v>345</v>
      </c>
      <c r="L433" s="170" t="s">
        <v>113</v>
      </c>
      <c r="M433" s="75"/>
      <c r="N433" s="75"/>
      <c r="O433" s="75"/>
    </row>
    <row r="434" spans="1:15">
      <c r="A434" s="467">
        <v>46099</v>
      </c>
      <c r="B434" s="242" t="s">
        <v>469</v>
      </c>
      <c r="C434" s="170" t="s">
        <v>337</v>
      </c>
      <c r="D434" s="242" t="s">
        <v>98</v>
      </c>
      <c r="E434" s="298">
        <v>1000</v>
      </c>
      <c r="F434" s="454">
        <f t="shared" si="6"/>
        <v>1.867727535907062</v>
      </c>
      <c r="G434" s="239">
        <v>535.41</v>
      </c>
      <c r="H434" s="242" t="s">
        <v>168</v>
      </c>
      <c r="I434" s="242" t="s">
        <v>510</v>
      </c>
      <c r="J434" s="170" t="s">
        <v>96</v>
      </c>
      <c r="K434" s="170" t="s">
        <v>345</v>
      </c>
      <c r="L434" s="170" t="s">
        <v>113</v>
      </c>
      <c r="M434" s="75"/>
      <c r="N434" s="75"/>
      <c r="O434" s="75"/>
    </row>
    <row r="435" spans="1:15">
      <c r="A435" s="467">
        <v>46099</v>
      </c>
      <c r="B435" s="242" t="s">
        <v>470</v>
      </c>
      <c r="C435" s="170" t="s">
        <v>337</v>
      </c>
      <c r="D435" s="242" t="s">
        <v>98</v>
      </c>
      <c r="E435" s="298">
        <v>1000</v>
      </c>
      <c r="F435" s="454">
        <f t="shared" si="6"/>
        <v>1.867727535907062</v>
      </c>
      <c r="G435" s="239">
        <v>535.41</v>
      </c>
      <c r="H435" s="242" t="s">
        <v>168</v>
      </c>
      <c r="I435" s="242" t="s">
        <v>510</v>
      </c>
      <c r="J435" s="170" t="s">
        <v>96</v>
      </c>
      <c r="K435" s="170" t="s">
        <v>345</v>
      </c>
      <c r="L435" s="170" t="s">
        <v>113</v>
      </c>
      <c r="M435" s="75"/>
      <c r="N435" s="75"/>
      <c r="O435" s="75"/>
    </row>
    <row r="436" spans="1:15">
      <c r="A436" s="467">
        <v>46099</v>
      </c>
      <c r="B436" s="242" t="s">
        <v>471</v>
      </c>
      <c r="C436" s="242" t="s">
        <v>110</v>
      </c>
      <c r="D436" s="242" t="s">
        <v>99</v>
      </c>
      <c r="E436" s="298">
        <v>5000</v>
      </c>
      <c r="F436" s="454">
        <f t="shared" si="6"/>
        <v>9.3386376795353101</v>
      </c>
      <c r="G436" s="239">
        <v>535.41</v>
      </c>
      <c r="H436" s="242" t="s">
        <v>168</v>
      </c>
      <c r="I436" s="242" t="s">
        <v>522</v>
      </c>
      <c r="J436" s="170" t="s">
        <v>96</v>
      </c>
      <c r="K436" s="170" t="s">
        <v>345</v>
      </c>
      <c r="L436" s="170" t="s">
        <v>113</v>
      </c>
      <c r="M436" s="75"/>
      <c r="N436" s="75"/>
      <c r="O436" s="75"/>
    </row>
    <row r="437" spans="1:15">
      <c r="A437" s="467">
        <v>46099</v>
      </c>
      <c r="B437" s="242" t="s">
        <v>472</v>
      </c>
      <c r="C437" s="170" t="s">
        <v>337</v>
      </c>
      <c r="D437" s="242" t="s">
        <v>98</v>
      </c>
      <c r="E437" s="298">
        <v>1000</v>
      </c>
      <c r="F437" s="454">
        <f t="shared" si="6"/>
        <v>1.867727535907062</v>
      </c>
      <c r="G437" s="239">
        <v>535.41</v>
      </c>
      <c r="H437" s="242" t="s">
        <v>168</v>
      </c>
      <c r="I437" s="242" t="s">
        <v>510</v>
      </c>
      <c r="J437" s="170" t="s">
        <v>96</v>
      </c>
      <c r="K437" s="170" t="s">
        <v>345</v>
      </c>
      <c r="L437" s="170" t="s">
        <v>113</v>
      </c>
      <c r="M437" s="75"/>
      <c r="N437" s="75"/>
      <c r="O437" s="75"/>
    </row>
    <row r="438" spans="1:15">
      <c r="A438" s="467">
        <v>46099</v>
      </c>
      <c r="B438" s="242" t="s">
        <v>335</v>
      </c>
      <c r="C438" s="170" t="s">
        <v>337</v>
      </c>
      <c r="D438" s="242" t="s">
        <v>98</v>
      </c>
      <c r="E438" s="298">
        <v>1000</v>
      </c>
      <c r="F438" s="454">
        <f t="shared" si="6"/>
        <v>1.867727535907062</v>
      </c>
      <c r="G438" s="239">
        <v>535.41</v>
      </c>
      <c r="H438" s="242" t="s">
        <v>168</v>
      </c>
      <c r="I438" s="242" t="s">
        <v>510</v>
      </c>
      <c r="J438" s="170" t="s">
        <v>96</v>
      </c>
      <c r="K438" s="170" t="s">
        <v>345</v>
      </c>
      <c r="L438" s="170" t="s">
        <v>113</v>
      </c>
      <c r="M438" s="75"/>
      <c r="N438" s="75"/>
      <c r="O438" s="75"/>
    </row>
    <row r="439" spans="1:15">
      <c r="A439" s="428">
        <v>46099</v>
      </c>
      <c r="B439" s="429" t="s">
        <v>1028</v>
      </c>
      <c r="C439" s="242" t="s">
        <v>402</v>
      </c>
      <c r="D439" s="429" t="s">
        <v>259</v>
      </c>
      <c r="E439" s="429">
        <v>12000</v>
      </c>
      <c r="F439" s="454">
        <f t="shared" si="6"/>
        <v>22.412730430884743</v>
      </c>
      <c r="G439" s="239">
        <v>535.41</v>
      </c>
      <c r="H439" s="429" t="s">
        <v>123</v>
      </c>
      <c r="I439" s="429" t="s">
        <v>566</v>
      </c>
      <c r="J439" s="170" t="s">
        <v>96</v>
      </c>
      <c r="K439" s="170" t="s">
        <v>345</v>
      </c>
      <c r="L439" s="170" t="s">
        <v>113</v>
      </c>
      <c r="M439" s="75"/>
      <c r="N439" s="75"/>
      <c r="O439" s="75"/>
    </row>
    <row r="440" spans="1:15">
      <c r="A440" s="428">
        <v>46099</v>
      </c>
      <c r="B440" s="165" t="s">
        <v>546</v>
      </c>
      <c r="C440" s="165" t="s">
        <v>110</v>
      </c>
      <c r="D440" s="165" t="s">
        <v>544</v>
      </c>
      <c r="E440" s="429">
        <v>7500</v>
      </c>
      <c r="F440" s="454">
        <f t="shared" si="6"/>
        <v>14.007956519302965</v>
      </c>
      <c r="G440" s="239">
        <v>535.41</v>
      </c>
      <c r="H440" s="429" t="s">
        <v>123</v>
      </c>
      <c r="I440" s="429" t="s">
        <v>567</v>
      </c>
      <c r="J440" s="170" t="s">
        <v>96</v>
      </c>
      <c r="K440" s="170" t="s">
        <v>345</v>
      </c>
      <c r="L440" s="170" t="s">
        <v>113</v>
      </c>
      <c r="M440" s="75"/>
      <c r="N440" s="75"/>
      <c r="O440" s="75"/>
    </row>
    <row r="441" spans="1:15">
      <c r="A441" s="457">
        <v>46099</v>
      </c>
      <c r="B441" s="242" t="s">
        <v>1062</v>
      </c>
      <c r="C441" s="170" t="s">
        <v>337</v>
      </c>
      <c r="D441" s="242" t="s">
        <v>259</v>
      </c>
      <c r="E441" s="242">
        <v>500</v>
      </c>
      <c r="F441" s="454">
        <f t="shared" si="6"/>
        <v>0.93386376795353099</v>
      </c>
      <c r="G441" s="239">
        <v>535.41</v>
      </c>
      <c r="H441" s="242" t="s">
        <v>122</v>
      </c>
      <c r="I441" s="242" t="s">
        <v>594</v>
      </c>
      <c r="J441" s="170" t="s">
        <v>96</v>
      </c>
      <c r="K441" s="170" t="s">
        <v>345</v>
      </c>
      <c r="L441" s="170" t="s">
        <v>113</v>
      </c>
      <c r="M441" s="75"/>
      <c r="N441" s="75"/>
      <c r="O441" s="75"/>
    </row>
    <row r="442" spans="1:15">
      <c r="A442" s="457">
        <v>46099</v>
      </c>
      <c r="B442" s="242" t="s">
        <v>1025</v>
      </c>
      <c r="C442" s="170" t="s">
        <v>337</v>
      </c>
      <c r="D442" s="242" t="s">
        <v>259</v>
      </c>
      <c r="E442" s="242">
        <v>1000</v>
      </c>
      <c r="F442" s="454">
        <f t="shared" si="6"/>
        <v>1.867727535907062</v>
      </c>
      <c r="G442" s="239">
        <v>535.41</v>
      </c>
      <c r="H442" s="242" t="s">
        <v>122</v>
      </c>
      <c r="I442" s="242" t="s">
        <v>594</v>
      </c>
      <c r="J442" s="170" t="s">
        <v>96</v>
      </c>
      <c r="K442" s="170" t="s">
        <v>345</v>
      </c>
      <c r="L442" s="170" t="s">
        <v>113</v>
      </c>
      <c r="M442" s="75"/>
      <c r="N442" s="75"/>
      <c r="O442" s="75"/>
    </row>
    <row r="443" spans="1:15">
      <c r="A443" s="457">
        <v>46099</v>
      </c>
      <c r="B443" s="242" t="s">
        <v>1025</v>
      </c>
      <c r="C443" s="170" t="s">
        <v>337</v>
      </c>
      <c r="D443" s="242" t="s">
        <v>259</v>
      </c>
      <c r="E443" s="242">
        <v>500</v>
      </c>
      <c r="F443" s="454">
        <f t="shared" si="6"/>
        <v>0.93386376795353099</v>
      </c>
      <c r="G443" s="239">
        <v>535.41</v>
      </c>
      <c r="H443" s="242" t="s">
        <v>122</v>
      </c>
      <c r="I443" s="242" t="s">
        <v>594</v>
      </c>
      <c r="J443" s="170" t="s">
        <v>96</v>
      </c>
      <c r="K443" s="170" t="s">
        <v>345</v>
      </c>
      <c r="L443" s="170" t="s">
        <v>113</v>
      </c>
      <c r="M443" s="75"/>
      <c r="N443" s="75"/>
      <c r="O443" s="75"/>
    </row>
    <row r="444" spans="1:15">
      <c r="A444" s="457">
        <v>46099</v>
      </c>
      <c r="B444" s="242" t="s">
        <v>1025</v>
      </c>
      <c r="C444" s="170" t="s">
        <v>337</v>
      </c>
      <c r="D444" s="242" t="s">
        <v>259</v>
      </c>
      <c r="E444" s="242">
        <v>500</v>
      </c>
      <c r="F444" s="454">
        <f t="shared" si="6"/>
        <v>0.93386376795353099</v>
      </c>
      <c r="G444" s="239">
        <v>535.41</v>
      </c>
      <c r="H444" s="242" t="s">
        <v>122</v>
      </c>
      <c r="I444" s="242" t="s">
        <v>594</v>
      </c>
      <c r="J444" s="170" t="s">
        <v>96</v>
      </c>
      <c r="K444" s="170" t="s">
        <v>345</v>
      </c>
      <c r="L444" s="170" t="s">
        <v>113</v>
      </c>
      <c r="M444" s="75"/>
      <c r="N444" s="75"/>
      <c r="O444" s="75"/>
    </row>
    <row r="445" spans="1:15">
      <c r="A445" s="457">
        <v>46099</v>
      </c>
      <c r="B445" s="242" t="s">
        <v>1025</v>
      </c>
      <c r="C445" s="170" t="s">
        <v>337</v>
      </c>
      <c r="D445" s="242" t="s">
        <v>259</v>
      </c>
      <c r="E445" s="242">
        <v>500</v>
      </c>
      <c r="F445" s="454">
        <f t="shared" si="6"/>
        <v>0.93386376795353099</v>
      </c>
      <c r="G445" s="239">
        <v>535.41</v>
      </c>
      <c r="H445" s="242" t="s">
        <v>122</v>
      </c>
      <c r="I445" s="242" t="s">
        <v>594</v>
      </c>
      <c r="J445" s="170" t="s">
        <v>96</v>
      </c>
      <c r="K445" s="170" t="s">
        <v>345</v>
      </c>
      <c r="L445" s="170" t="s">
        <v>113</v>
      </c>
      <c r="M445" s="75"/>
      <c r="N445" s="75"/>
      <c r="O445" s="75"/>
    </row>
    <row r="446" spans="1:15">
      <c r="A446" s="457">
        <v>46099</v>
      </c>
      <c r="B446" s="242" t="s">
        <v>1025</v>
      </c>
      <c r="C446" s="170" t="s">
        <v>337</v>
      </c>
      <c r="D446" s="242" t="s">
        <v>259</v>
      </c>
      <c r="E446" s="242">
        <v>500</v>
      </c>
      <c r="F446" s="454">
        <f t="shared" si="6"/>
        <v>0.93386376795353099</v>
      </c>
      <c r="G446" s="239">
        <v>535.41</v>
      </c>
      <c r="H446" s="242" t="s">
        <v>122</v>
      </c>
      <c r="I446" s="242" t="s">
        <v>594</v>
      </c>
      <c r="J446" s="170" t="s">
        <v>96</v>
      </c>
      <c r="K446" s="170" t="s">
        <v>345</v>
      </c>
      <c r="L446" s="170" t="s">
        <v>113</v>
      </c>
      <c r="M446" s="75"/>
      <c r="N446" s="75"/>
      <c r="O446" s="75"/>
    </row>
    <row r="447" spans="1:15">
      <c r="A447" s="457">
        <v>46099</v>
      </c>
      <c r="B447" s="242" t="s">
        <v>1025</v>
      </c>
      <c r="C447" s="170" t="s">
        <v>337</v>
      </c>
      <c r="D447" s="242" t="s">
        <v>259</v>
      </c>
      <c r="E447" s="242">
        <v>500</v>
      </c>
      <c r="F447" s="454">
        <f t="shared" si="6"/>
        <v>0.93386376795353099</v>
      </c>
      <c r="G447" s="239">
        <v>535.41</v>
      </c>
      <c r="H447" s="242" t="s">
        <v>122</v>
      </c>
      <c r="I447" s="242" t="s">
        <v>594</v>
      </c>
      <c r="J447" s="170" t="s">
        <v>96</v>
      </c>
      <c r="K447" s="170" t="s">
        <v>345</v>
      </c>
      <c r="L447" s="170" t="s">
        <v>113</v>
      </c>
      <c r="M447" s="75"/>
      <c r="N447" s="75"/>
      <c r="O447" s="75"/>
    </row>
    <row r="448" spans="1:15">
      <c r="A448" s="457">
        <v>46099</v>
      </c>
      <c r="B448" s="242" t="s">
        <v>1025</v>
      </c>
      <c r="C448" s="170" t="s">
        <v>337</v>
      </c>
      <c r="D448" s="242" t="s">
        <v>259</v>
      </c>
      <c r="E448" s="242">
        <v>500</v>
      </c>
      <c r="F448" s="454">
        <f t="shared" si="6"/>
        <v>0.93386376795353099</v>
      </c>
      <c r="G448" s="239">
        <v>535.41</v>
      </c>
      <c r="H448" s="242" t="s">
        <v>122</v>
      </c>
      <c r="I448" s="242" t="s">
        <v>594</v>
      </c>
      <c r="J448" s="170" t="s">
        <v>96</v>
      </c>
      <c r="K448" s="170" t="s">
        <v>345</v>
      </c>
      <c r="L448" s="170" t="s">
        <v>113</v>
      </c>
      <c r="M448" s="75"/>
      <c r="N448" s="75"/>
      <c r="O448" s="75"/>
    </row>
    <row r="449" spans="1:15">
      <c r="A449" s="457">
        <v>46099</v>
      </c>
      <c r="B449" s="242" t="s">
        <v>1025</v>
      </c>
      <c r="C449" s="170" t="s">
        <v>337</v>
      </c>
      <c r="D449" s="242" t="s">
        <v>259</v>
      </c>
      <c r="E449" s="242">
        <v>500</v>
      </c>
      <c r="F449" s="454">
        <f t="shared" si="6"/>
        <v>0.93386376795353099</v>
      </c>
      <c r="G449" s="239">
        <v>535.41</v>
      </c>
      <c r="H449" s="242" t="s">
        <v>122</v>
      </c>
      <c r="I449" s="242" t="s">
        <v>594</v>
      </c>
      <c r="J449" s="170" t="s">
        <v>96</v>
      </c>
      <c r="K449" s="170" t="s">
        <v>345</v>
      </c>
      <c r="L449" s="170" t="s">
        <v>113</v>
      </c>
      <c r="M449" s="75"/>
      <c r="N449" s="75"/>
      <c r="O449" s="75"/>
    </row>
    <row r="450" spans="1:15">
      <c r="A450" s="457">
        <v>46099</v>
      </c>
      <c r="B450" s="242" t="s">
        <v>1093</v>
      </c>
      <c r="C450" s="242" t="s">
        <v>587</v>
      </c>
      <c r="D450" s="242" t="s">
        <v>259</v>
      </c>
      <c r="E450" s="242">
        <v>2000</v>
      </c>
      <c r="F450" s="454">
        <f t="shared" ref="F450:F513" si="7">E450/G450</f>
        <v>3.735455071814124</v>
      </c>
      <c r="G450" s="239">
        <v>535.41</v>
      </c>
      <c r="H450" s="242" t="s">
        <v>122</v>
      </c>
      <c r="I450" s="242" t="s">
        <v>596</v>
      </c>
      <c r="J450" s="170" t="s">
        <v>96</v>
      </c>
      <c r="K450" s="170" t="s">
        <v>345</v>
      </c>
      <c r="L450" s="170" t="s">
        <v>113</v>
      </c>
      <c r="M450" s="75"/>
      <c r="N450" s="75"/>
      <c r="O450" s="75"/>
    </row>
    <row r="451" spans="1:15">
      <c r="A451" s="457">
        <v>46099</v>
      </c>
      <c r="B451" s="165" t="s">
        <v>591</v>
      </c>
      <c r="C451" s="165" t="s">
        <v>110</v>
      </c>
      <c r="D451" s="242" t="s">
        <v>259</v>
      </c>
      <c r="E451" s="242">
        <v>7500</v>
      </c>
      <c r="F451" s="454">
        <f t="shared" si="7"/>
        <v>14.007956519302965</v>
      </c>
      <c r="G451" s="239">
        <v>535.41</v>
      </c>
      <c r="H451" s="242" t="s">
        <v>122</v>
      </c>
      <c r="I451" s="242" t="s">
        <v>621</v>
      </c>
      <c r="J451" s="170" t="s">
        <v>96</v>
      </c>
      <c r="K451" s="170" t="s">
        <v>345</v>
      </c>
      <c r="L451" s="170" t="s">
        <v>113</v>
      </c>
      <c r="M451" s="75"/>
      <c r="N451" s="75"/>
      <c r="O451" s="75"/>
    </row>
    <row r="452" spans="1:15">
      <c r="A452" s="457">
        <v>46099</v>
      </c>
      <c r="B452" s="242" t="s">
        <v>1025</v>
      </c>
      <c r="C452" s="170" t="s">
        <v>337</v>
      </c>
      <c r="D452" s="242" t="s">
        <v>259</v>
      </c>
      <c r="E452" s="242">
        <v>1000</v>
      </c>
      <c r="F452" s="454">
        <f t="shared" si="7"/>
        <v>1.867727535907062</v>
      </c>
      <c r="G452" s="239">
        <v>535.41</v>
      </c>
      <c r="H452" s="242" t="s">
        <v>131</v>
      </c>
      <c r="I452" s="242" t="s">
        <v>653</v>
      </c>
      <c r="J452" s="170" t="s">
        <v>96</v>
      </c>
      <c r="K452" s="170" t="s">
        <v>345</v>
      </c>
      <c r="L452" s="170" t="s">
        <v>113</v>
      </c>
      <c r="M452" s="75"/>
      <c r="N452" s="75"/>
      <c r="O452" s="75"/>
    </row>
    <row r="453" spans="1:15">
      <c r="A453" s="457">
        <v>46099</v>
      </c>
      <c r="B453" s="242" t="s">
        <v>1029</v>
      </c>
      <c r="C453" s="170" t="s">
        <v>337</v>
      </c>
      <c r="D453" s="242" t="s">
        <v>259</v>
      </c>
      <c r="E453" s="242">
        <v>1000</v>
      </c>
      <c r="F453" s="454">
        <f t="shared" si="7"/>
        <v>1.867727535907062</v>
      </c>
      <c r="G453" s="239">
        <v>535.41</v>
      </c>
      <c r="H453" s="242" t="s">
        <v>131</v>
      </c>
      <c r="I453" s="242" t="s">
        <v>653</v>
      </c>
      <c r="J453" s="170" t="s">
        <v>96</v>
      </c>
      <c r="K453" s="170" t="s">
        <v>345</v>
      </c>
      <c r="L453" s="170" t="s">
        <v>113</v>
      </c>
      <c r="M453" s="75"/>
      <c r="N453" s="75"/>
      <c r="O453" s="75"/>
    </row>
    <row r="454" spans="1:15">
      <c r="A454" s="453">
        <v>46099</v>
      </c>
      <c r="B454" s="170" t="s">
        <v>649</v>
      </c>
      <c r="C454" s="170" t="s">
        <v>110</v>
      </c>
      <c r="D454" s="170" t="s">
        <v>259</v>
      </c>
      <c r="E454" s="170">
        <v>7500</v>
      </c>
      <c r="F454" s="454">
        <f t="shared" si="7"/>
        <v>14.007956519302965</v>
      </c>
      <c r="G454" s="239">
        <v>535.41</v>
      </c>
      <c r="H454" s="170" t="s">
        <v>131</v>
      </c>
      <c r="I454" s="170" t="s">
        <v>676</v>
      </c>
      <c r="J454" s="170" t="s">
        <v>96</v>
      </c>
      <c r="K454" s="170" t="s">
        <v>345</v>
      </c>
      <c r="L454" s="170" t="s">
        <v>113</v>
      </c>
      <c r="M454" s="75"/>
      <c r="N454" s="75"/>
      <c r="O454" s="75"/>
    </row>
    <row r="455" spans="1:15">
      <c r="A455" s="468">
        <v>46099</v>
      </c>
      <c r="B455" s="170" t="s">
        <v>700</v>
      </c>
      <c r="C455" s="456" t="s">
        <v>110</v>
      </c>
      <c r="D455" s="456" t="s">
        <v>97</v>
      </c>
      <c r="E455" s="367">
        <v>7500</v>
      </c>
      <c r="F455" s="454">
        <f t="shared" si="7"/>
        <v>14.007956519302965</v>
      </c>
      <c r="G455" s="239">
        <v>535.41</v>
      </c>
      <c r="H455" s="456" t="s">
        <v>134</v>
      </c>
      <c r="I455" s="170" t="s">
        <v>732</v>
      </c>
      <c r="J455" s="170" t="s">
        <v>96</v>
      </c>
      <c r="K455" s="170" t="s">
        <v>345</v>
      </c>
      <c r="L455" s="170" t="s">
        <v>113</v>
      </c>
      <c r="M455" s="75"/>
      <c r="N455" s="75"/>
      <c r="O455" s="75"/>
    </row>
    <row r="456" spans="1:15">
      <c r="A456" s="457">
        <v>46099</v>
      </c>
      <c r="B456" s="462" t="s">
        <v>1002</v>
      </c>
      <c r="C456" s="462" t="s">
        <v>110</v>
      </c>
      <c r="D456" s="469" t="s">
        <v>100</v>
      </c>
      <c r="E456" s="299">
        <v>7500</v>
      </c>
      <c r="F456" s="454">
        <f t="shared" si="7"/>
        <v>14.007956519302965</v>
      </c>
      <c r="G456" s="239">
        <v>535.41</v>
      </c>
      <c r="H456" s="242" t="s">
        <v>129</v>
      </c>
      <c r="I456" s="242" t="s">
        <v>793</v>
      </c>
      <c r="J456" s="170" t="s">
        <v>96</v>
      </c>
      <c r="K456" s="170" t="s">
        <v>345</v>
      </c>
      <c r="L456" s="170" t="s">
        <v>113</v>
      </c>
      <c r="M456" s="75"/>
      <c r="N456" s="75"/>
      <c r="O456" s="75"/>
    </row>
    <row r="457" spans="1:15">
      <c r="A457" s="457">
        <v>46099</v>
      </c>
      <c r="B457" s="242" t="s">
        <v>807</v>
      </c>
      <c r="C457" s="242" t="s">
        <v>110</v>
      </c>
      <c r="D457" s="242" t="s">
        <v>97</v>
      </c>
      <c r="E457" s="242">
        <v>5000</v>
      </c>
      <c r="F457" s="454">
        <f t="shared" si="7"/>
        <v>9.3386376795353101</v>
      </c>
      <c r="G457" s="239">
        <v>535.41</v>
      </c>
      <c r="H457" s="242" t="s">
        <v>124</v>
      </c>
      <c r="I457" s="242" t="s">
        <v>844</v>
      </c>
      <c r="J457" s="170" t="s">
        <v>96</v>
      </c>
      <c r="K457" s="170" t="s">
        <v>345</v>
      </c>
      <c r="L457" s="170" t="s">
        <v>113</v>
      </c>
      <c r="M457" s="75"/>
      <c r="N457" s="75"/>
      <c r="O457" s="75"/>
    </row>
    <row r="458" spans="1:15">
      <c r="A458" s="457">
        <v>46100</v>
      </c>
      <c r="B458" s="242" t="s">
        <v>186</v>
      </c>
      <c r="C458" s="170" t="s">
        <v>337</v>
      </c>
      <c r="D458" s="458" t="s">
        <v>99</v>
      </c>
      <c r="E458" s="242">
        <v>1000</v>
      </c>
      <c r="F458" s="454">
        <f t="shared" si="7"/>
        <v>1.9254803020356539</v>
      </c>
      <c r="G458" s="239">
        <v>519.35093749999999</v>
      </c>
      <c r="H458" s="459" t="s">
        <v>111</v>
      </c>
      <c r="I458" s="170" t="s">
        <v>380</v>
      </c>
      <c r="J458" s="170" t="s">
        <v>96</v>
      </c>
      <c r="K458" s="170" t="s">
        <v>345</v>
      </c>
      <c r="L458" s="170" t="s">
        <v>113</v>
      </c>
      <c r="M458" s="364"/>
      <c r="N458" s="364"/>
      <c r="O458" s="278"/>
    </row>
    <row r="459" spans="1:15">
      <c r="A459" s="457">
        <v>46100</v>
      </c>
      <c r="B459" s="242" t="s">
        <v>307</v>
      </c>
      <c r="C459" s="170" t="s">
        <v>337</v>
      </c>
      <c r="D459" s="458" t="s">
        <v>99</v>
      </c>
      <c r="E459" s="242">
        <v>1000</v>
      </c>
      <c r="F459" s="454">
        <f t="shared" si="7"/>
        <v>1.9254803020356539</v>
      </c>
      <c r="G459" s="239">
        <v>519.35093749999999</v>
      </c>
      <c r="H459" s="459" t="s">
        <v>111</v>
      </c>
      <c r="I459" s="170" t="s">
        <v>380</v>
      </c>
      <c r="J459" s="170" t="s">
        <v>96</v>
      </c>
      <c r="K459" s="170" t="s">
        <v>345</v>
      </c>
      <c r="L459" s="170" t="s">
        <v>113</v>
      </c>
      <c r="M459" s="364"/>
      <c r="N459" s="364"/>
      <c r="O459" s="75"/>
    </row>
    <row r="460" spans="1:15">
      <c r="A460" s="457">
        <v>46100</v>
      </c>
      <c r="B460" s="242" t="s">
        <v>308</v>
      </c>
      <c r="C460" s="170" t="s">
        <v>337</v>
      </c>
      <c r="D460" s="458" t="s">
        <v>99</v>
      </c>
      <c r="E460" s="242">
        <v>1000</v>
      </c>
      <c r="F460" s="454">
        <f t="shared" si="7"/>
        <v>1.9254803020356539</v>
      </c>
      <c r="G460" s="239">
        <v>519.35093749999999</v>
      </c>
      <c r="H460" s="459" t="s">
        <v>111</v>
      </c>
      <c r="I460" s="170" t="s">
        <v>380</v>
      </c>
      <c r="J460" s="170" t="s">
        <v>96</v>
      </c>
      <c r="K460" s="170" t="s">
        <v>345</v>
      </c>
      <c r="L460" s="170" t="s">
        <v>113</v>
      </c>
      <c r="M460" s="364"/>
      <c r="N460" s="364"/>
      <c r="O460" s="75"/>
    </row>
    <row r="461" spans="1:15">
      <c r="A461" s="457">
        <v>46100</v>
      </c>
      <c r="B461" s="242" t="s">
        <v>187</v>
      </c>
      <c r="C461" s="170" t="s">
        <v>337</v>
      </c>
      <c r="D461" s="458" t="s">
        <v>99</v>
      </c>
      <c r="E461" s="242">
        <v>1000</v>
      </c>
      <c r="F461" s="454">
        <f t="shared" si="7"/>
        <v>1.9254803020356539</v>
      </c>
      <c r="G461" s="239">
        <v>519.35093749999999</v>
      </c>
      <c r="H461" s="459" t="s">
        <v>111</v>
      </c>
      <c r="I461" s="170" t="s">
        <v>380</v>
      </c>
      <c r="J461" s="170" t="s">
        <v>96</v>
      </c>
      <c r="K461" s="170" t="s">
        <v>345</v>
      </c>
      <c r="L461" s="170" t="s">
        <v>113</v>
      </c>
      <c r="M461" s="364"/>
      <c r="N461" s="364"/>
      <c r="O461" s="75"/>
    </row>
    <row r="462" spans="1:15">
      <c r="A462" s="467">
        <v>46100</v>
      </c>
      <c r="B462" s="242" t="s">
        <v>473</v>
      </c>
      <c r="C462" s="170" t="s">
        <v>337</v>
      </c>
      <c r="D462" s="242" t="s">
        <v>98</v>
      </c>
      <c r="E462" s="298">
        <v>1000</v>
      </c>
      <c r="F462" s="454">
        <f t="shared" si="7"/>
        <v>1.867727535907062</v>
      </c>
      <c r="G462" s="239">
        <v>535.41</v>
      </c>
      <c r="H462" s="242" t="s">
        <v>168</v>
      </c>
      <c r="I462" s="242" t="s">
        <v>510</v>
      </c>
      <c r="J462" s="170" t="s">
        <v>96</v>
      </c>
      <c r="K462" s="170" t="s">
        <v>345</v>
      </c>
      <c r="L462" s="170" t="s">
        <v>113</v>
      </c>
      <c r="M462" s="75"/>
      <c r="N462" s="75"/>
      <c r="O462" s="75"/>
    </row>
    <row r="463" spans="1:15">
      <c r="A463" s="467">
        <v>46100</v>
      </c>
      <c r="B463" s="242" t="s">
        <v>460</v>
      </c>
      <c r="C463" s="170" t="s">
        <v>337</v>
      </c>
      <c r="D463" s="242" t="s">
        <v>98</v>
      </c>
      <c r="E463" s="298">
        <v>1000</v>
      </c>
      <c r="F463" s="454">
        <f t="shared" si="7"/>
        <v>1.867727535907062</v>
      </c>
      <c r="G463" s="239">
        <v>535.41</v>
      </c>
      <c r="H463" s="242" t="s">
        <v>168</v>
      </c>
      <c r="I463" s="242" t="s">
        <v>510</v>
      </c>
      <c r="J463" s="170" t="s">
        <v>96</v>
      </c>
      <c r="K463" s="170" t="s">
        <v>345</v>
      </c>
      <c r="L463" s="170" t="s">
        <v>113</v>
      </c>
      <c r="M463" s="75"/>
      <c r="N463" s="75"/>
      <c r="O463" s="75"/>
    </row>
    <row r="464" spans="1:15">
      <c r="A464" s="428">
        <v>46100</v>
      </c>
      <c r="B464" s="429" t="s">
        <v>1038</v>
      </c>
      <c r="C464" s="170" t="s">
        <v>337</v>
      </c>
      <c r="D464" s="429" t="s">
        <v>259</v>
      </c>
      <c r="E464" s="429">
        <v>1500</v>
      </c>
      <c r="F464" s="454">
        <f t="shared" si="7"/>
        <v>2.8015913038605929</v>
      </c>
      <c r="G464" s="239">
        <v>535.41</v>
      </c>
      <c r="H464" s="429" t="s">
        <v>123</v>
      </c>
      <c r="I464" s="429" t="s">
        <v>550</v>
      </c>
      <c r="J464" s="170" t="s">
        <v>96</v>
      </c>
      <c r="K464" s="170" t="s">
        <v>345</v>
      </c>
      <c r="L464" s="170" t="s">
        <v>113</v>
      </c>
      <c r="M464" s="75"/>
      <c r="N464" s="75"/>
      <c r="O464" s="75"/>
    </row>
    <row r="465" spans="1:15">
      <c r="A465" s="428">
        <v>46100</v>
      </c>
      <c r="B465" s="429" t="s">
        <v>1038</v>
      </c>
      <c r="C465" s="170" t="s">
        <v>337</v>
      </c>
      <c r="D465" s="429" t="s">
        <v>259</v>
      </c>
      <c r="E465" s="429">
        <v>500</v>
      </c>
      <c r="F465" s="454">
        <f t="shared" si="7"/>
        <v>0.93386376795353099</v>
      </c>
      <c r="G465" s="239">
        <v>535.41</v>
      </c>
      <c r="H465" s="429" t="s">
        <v>123</v>
      </c>
      <c r="I465" s="429" t="s">
        <v>550</v>
      </c>
      <c r="J465" s="170" t="s">
        <v>96</v>
      </c>
      <c r="K465" s="170" t="s">
        <v>345</v>
      </c>
      <c r="L465" s="170" t="s">
        <v>113</v>
      </c>
      <c r="M465" s="75"/>
      <c r="N465" s="75"/>
      <c r="O465" s="75"/>
    </row>
    <row r="466" spans="1:15">
      <c r="A466" s="428">
        <v>46100</v>
      </c>
      <c r="B466" s="429" t="s">
        <v>1076</v>
      </c>
      <c r="C466" s="429" t="s">
        <v>542</v>
      </c>
      <c r="D466" s="429" t="s">
        <v>259</v>
      </c>
      <c r="E466" s="429">
        <v>170000</v>
      </c>
      <c r="F466" s="454">
        <f t="shared" si="7"/>
        <v>317.51368110420054</v>
      </c>
      <c r="G466" s="239">
        <v>535.41</v>
      </c>
      <c r="H466" s="429" t="s">
        <v>123</v>
      </c>
      <c r="I466" s="429" t="s">
        <v>568</v>
      </c>
      <c r="J466" s="170" t="s">
        <v>96</v>
      </c>
      <c r="K466" s="170" t="s">
        <v>345</v>
      </c>
      <c r="L466" s="170" t="s">
        <v>113</v>
      </c>
      <c r="M466" s="75"/>
      <c r="N466" s="75"/>
      <c r="O466" s="75"/>
    </row>
    <row r="467" spans="1:15">
      <c r="A467" s="457">
        <v>46100</v>
      </c>
      <c r="B467" s="242" t="s">
        <v>1025</v>
      </c>
      <c r="C467" s="170" t="s">
        <v>337</v>
      </c>
      <c r="D467" s="242" t="s">
        <v>259</v>
      </c>
      <c r="E467" s="242">
        <v>500</v>
      </c>
      <c r="F467" s="454">
        <f t="shared" si="7"/>
        <v>0.93386376795353099</v>
      </c>
      <c r="G467" s="239">
        <v>535.41</v>
      </c>
      <c r="H467" s="242" t="s">
        <v>122</v>
      </c>
      <c r="I467" s="242" t="s">
        <v>594</v>
      </c>
      <c r="J467" s="170" t="s">
        <v>96</v>
      </c>
      <c r="K467" s="170" t="s">
        <v>345</v>
      </c>
      <c r="L467" s="170" t="s">
        <v>113</v>
      </c>
      <c r="M467" s="75"/>
      <c r="N467" s="75"/>
      <c r="O467" s="75"/>
    </row>
    <row r="468" spans="1:15">
      <c r="A468" s="457">
        <v>46100</v>
      </c>
      <c r="B468" s="242" t="s">
        <v>1029</v>
      </c>
      <c r="C468" s="170" t="s">
        <v>337</v>
      </c>
      <c r="D468" s="242" t="s">
        <v>259</v>
      </c>
      <c r="E468" s="242">
        <v>500</v>
      </c>
      <c r="F468" s="454">
        <f t="shared" si="7"/>
        <v>0.93386376795353099</v>
      </c>
      <c r="G468" s="239">
        <v>535.41</v>
      </c>
      <c r="H468" s="242" t="s">
        <v>122</v>
      </c>
      <c r="I468" s="242" t="s">
        <v>594</v>
      </c>
      <c r="J468" s="170" t="s">
        <v>96</v>
      </c>
      <c r="K468" s="170" t="s">
        <v>345</v>
      </c>
      <c r="L468" s="170" t="s">
        <v>113</v>
      </c>
      <c r="M468" s="75"/>
      <c r="N468" s="75"/>
      <c r="O468" s="75"/>
    </row>
    <row r="469" spans="1:15">
      <c r="A469" s="457">
        <v>46100</v>
      </c>
      <c r="B469" s="242" t="s">
        <v>1025</v>
      </c>
      <c r="C469" s="170" t="s">
        <v>337</v>
      </c>
      <c r="D469" s="242" t="s">
        <v>259</v>
      </c>
      <c r="E469" s="242">
        <v>500</v>
      </c>
      <c r="F469" s="454">
        <f t="shared" si="7"/>
        <v>0.93386376795353099</v>
      </c>
      <c r="G469" s="239">
        <v>535.41</v>
      </c>
      <c r="H469" s="242" t="s">
        <v>122</v>
      </c>
      <c r="I469" s="242" t="s">
        <v>594</v>
      </c>
      <c r="J469" s="170" t="s">
        <v>96</v>
      </c>
      <c r="K469" s="170" t="s">
        <v>345</v>
      </c>
      <c r="L469" s="170" t="s">
        <v>113</v>
      </c>
      <c r="M469" s="75"/>
      <c r="N469" s="75"/>
      <c r="O469" s="75"/>
    </row>
    <row r="470" spans="1:15">
      <c r="A470" s="457">
        <v>46100</v>
      </c>
      <c r="B470" s="242" t="s">
        <v>1025</v>
      </c>
      <c r="C470" s="170" t="s">
        <v>337</v>
      </c>
      <c r="D470" s="242" t="s">
        <v>259</v>
      </c>
      <c r="E470" s="242">
        <v>500</v>
      </c>
      <c r="F470" s="454">
        <f t="shared" si="7"/>
        <v>0.93386376795353099</v>
      </c>
      <c r="G470" s="239">
        <v>535.41</v>
      </c>
      <c r="H470" s="242" t="s">
        <v>122</v>
      </c>
      <c r="I470" s="242" t="s">
        <v>594</v>
      </c>
      <c r="J470" s="170" t="s">
        <v>96</v>
      </c>
      <c r="K470" s="170" t="s">
        <v>345</v>
      </c>
      <c r="L470" s="170" t="s">
        <v>113</v>
      </c>
      <c r="M470" s="75"/>
      <c r="N470" s="75"/>
      <c r="O470" s="75"/>
    </row>
    <row r="471" spans="1:15">
      <c r="A471" s="450">
        <v>46100</v>
      </c>
      <c r="B471" s="242" t="s">
        <v>939</v>
      </c>
      <c r="C471" s="242" t="s">
        <v>130</v>
      </c>
      <c r="D471" s="242" t="s">
        <v>98</v>
      </c>
      <c r="E471" s="245">
        <v>217164</v>
      </c>
      <c r="F471" s="454">
        <f t="shared" si="7"/>
        <v>405.60318260772124</v>
      </c>
      <c r="G471" s="239">
        <v>535.41</v>
      </c>
      <c r="H471" s="242" t="s">
        <v>107</v>
      </c>
      <c r="I471" s="242" t="s">
        <v>979</v>
      </c>
      <c r="J471" s="170" t="s">
        <v>96</v>
      </c>
      <c r="K471" s="170" t="s">
        <v>345</v>
      </c>
      <c r="L471" s="170" t="s">
        <v>113</v>
      </c>
      <c r="M471" s="75"/>
      <c r="N471" s="75"/>
      <c r="O471" s="75"/>
    </row>
    <row r="472" spans="1:15">
      <c r="A472" s="457">
        <v>46101</v>
      </c>
      <c r="B472" s="242" t="s">
        <v>186</v>
      </c>
      <c r="C472" s="170" t="s">
        <v>337</v>
      </c>
      <c r="D472" s="458" t="s">
        <v>99</v>
      </c>
      <c r="E472" s="242">
        <v>1000</v>
      </c>
      <c r="F472" s="454">
        <f t="shared" si="7"/>
        <v>1.9254803020356539</v>
      </c>
      <c r="G472" s="239">
        <v>519.35093749999999</v>
      </c>
      <c r="H472" s="459" t="s">
        <v>111</v>
      </c>
      <c r="I472" s="170" t="s">
        <v>380</v>
      </c>
      <c r="J472" s="170" t="s">
        <v>96</v>
      </c>
      <c r="K472" s="170" t="s">
        <v>345</v>
      </c>
      <c r="L472" s="170" t="s">
        <v>113</v>
      </c>
      <c r="M472" s="364"/>
      <c r="N472" s="364"/>
      <c r="O472" s="75"/>
    </row>
    <row r="473" spans="1:15">
      <c r="A473" s="457">
        <v>46101</v>
      </c>
      <c r="B473" s="242" t="s">
        <v>192</v>
      </c>
      <c r="C473" s="170" t="s">
        <v>337</v>
      </c>
      <c r="D473" s="458" t="s">
        <v>99</v>
      </c>
      <c r="E473" s="242">
        <v>1000</v>
      </c>
      <c r="F473" s="454">
        <f t="shared" si="7"/>
        <v>1.8771635173931283</v>
      </c>
      <c r="G473" s="239">
        <v>532.71864210781655</v>
      </c>
      <c r="H473" s="459" t="s">
        <v>111</v>
      </c>
      <c r="I473" s="170" t="s">
        <v>380</v>
      </c>
      <c r="J473" s="170" t="s">
        <v>96</v>
      </c>
      <c r="K473" s="170" t="s">
        <v>345</v>
      </c>
      <c r="L473" s="170" t="s">
        <v>113</v>
      </c>
      <c r="M473" s="364"/>
      <c r="N473" s="364"/>
      <c r="O473" s="75"/>
    </row>
    <row r="474" spans="1:15">
      <c r="A474" s="467">
        <v>46101</v>
      </c>
      <c r="B474" s="242" t="s">
        <v>474</v>
      </c>
      <c r="C474" s="170" t="s">
        <v>337</v>
      </c>
      <c r="D474" s="242" t="s">
        <v>98</v>
      </c>
      <c r="E474" s="298">
        <v>500</v>
      </c>
      <c r="F474" s="454">
        <f t="shared" si="7"/>
        <v>0.93386376795353099</v>
      </c>
      <c r="G474" s="239">
        <v>535.41</v>
      </c>
      <c r="H474" s="242" t="s">
        <v>168</v>
      </c>
      <c r="I474" s="242" t="s">
        <v>510</v>
      </c>
      <c r="J474" s="170" t="s">
        <v>96</v>
      </c>
      <c r="K474" s="170" t="s">
        <v>345</v>
      </c>
      <c r="L474" s="170" t="s">
        <v>113</v>
      </c>
      <c r="M474" s="75"/>
      <c r="N474" s="75"/>
      <c r="O474" s="75"/>
    </row>
    <row r="475" spans="1:15">
      <c r="A475" s="467">
        <v>46101</v>
      </c>
      <c r="B475" s="242" t="s">
        <v>466</v>
      </c>
      <c r="C475" s="170" t="s">
        <v>337</v>
      </c>
      <c r="D475" s="242" t="s">
        <v>98</v>
      </c>
      <c r="E475" s="298">
        <v>500</v>
      </c>
      <c r="F475" s="454">
        <f t="shared" si="7"/>
        <v>0.93386376795353099</v>
      </c>
      <c r="G475" s="239">
        <v>535.41</v>
      </c>
      <c r="H475" s="242" t="s">
        <v>168</v>
      </c>
      <c r="I475" s="242" t="s">
        <v>510</v>
      </c>
      <c r="J475" s="170" t="s">
        <v>96</v>
      </c>
      <c r="K475" s="170" t="s">
        <v>345</v>
      </c>
      <c r="L475" s="170" t="s">
        <v>113</v>
      </c>
      <c r="M475" s="75"/>
      <c r="N475" s="75"/>
      <c r="O475" s="75"/>
    </row>
    <row r="476" spans="1:15">
      <c r="A476" s="467">
        <v>46101</v>
      </c>
      <c r="B476" s="242" t="s">
        <v>465</v>
      </c>
      <c r="C476" s="170" t="s">
        <v>337</v>
      </c>
      <c r="D476" s="242" t="s">
        <v>98</v>
      </c>
      <c r="E476" s="298">
        <v>500</v>
      </c>
      <c r="F476" s="454">
        <f t="shared" si="7"/>
        <v>0.93386376795353099</v>
      </c>
      <c r="G476" s="239">
        <v>535.41</v>
      </c>
      <c r="H476" s="242" t="s">
        <v>168</v>
      </c>
      <c r="I476" s="242" t="s">
        <v>510</v>
      </c>
      <c r="J476" s="170" t="s">
        <v>96</v>
      </c>
      <c r="K476" s="170" t="s">
        <v>345</v>
      </c>
      <c r="L476" s="170" t="s">
        <v>113</v>
      </c>
      <c r="M476" s="75"/>
      <c r="N476" s="75"/>
      <c r="O476" s="75"/>
    </row>
    <row r="477" spans="1:15">
      <c r="A477" s="467">
        <v>46101</v>
      </c>
      <c r="B477" s="242" t="s">
        <v>466</v>
      </c>
      <c r="C477" s="170" t="s">
        <v>337</v>
      </c>
      <c r="D477" s="242" t="s">
        <v>98</v>
      </c>
      <c r="E477" s="298">
        <v>500</v>
      </c>
      <c r="F477" s="454">
        <f t="shared" si="7"/>
        <v>0.93386376795353099</v>
      </c>
      <c r="G477" s="239">
        <v>535.41</v>
      </c>
      <c r="H477" s="242" t="s">
        <v>168</v>
      </c>
      <c r="I477" s="242" t="s">
        <v>510</v>
      </c>
      <c r="J477" s="170" t="s">
        <v>96</v>
      </c>
      <c r="K477" s="170" t="s">
        <v>345</v>
      </c>
      <c r="L477" s="170" t="s">
        <v>113</v>
      </c>
      <c r="M477" s="75"/>
      <c r="N477" s="75"/>
      <c r="O477" s="75"/>
    </row>
    <row r="478" spans="1:15">
      <c r="A478" s="428">
        <v>46101</v>
      </c>
      <c r="B478" s="429" t="s">
        <v>1033</v>
      </c>
      <c r="C478" s="170" t="s">
        <v>337</v>
      </c>
      <c r="D478" s="429" t="s">
        <v>259</v>
      </c>
      <c r="E478" s="429">
        <v>500</v>
      </c>
      <c r="F478" s="454">
        <f t="shared" si="7"/>
        <v>0.93386376795353099</v>
      </c>
      <c r="G478" s="239">
        <v>535.41</v>
      </c>
      <c r="H478" s="429" t="s">
        <v>123</v>
      </c>
      <c r="I478" s="429" t="s">
        <v>550</v>
      </c>
      <c r="J478" s="170" t="s">
        <v>96</v>
      </c>
      <c r="K478" s="170" t="s">
        <v>345</v>
      </c>
      <c r="L478" s="170" t="s">
        <v>113</v>
      </c>
      <c r="M478" s="75"/>
      <c r="N478" s="75"/>
      <c r="O478" s="75"/>
    </row>
    <row r="479" spans="1:15">
      <c r="A479" s="428">
        <v>46101</v>
      </c>
      <c r="B479" s="429" t="s">
        <v>1066</v>
      </c>
      <c r="C479" s="170" t="s">
        <v>337</v>
      </c>
      <c r="D479" s="429" t="s">
        <v>259</v>
      </c>
      <c r="E479" s="429">
        <v>1000</v>
      </c>
      <c r="F479" s="454">
        <f t="shared" si="7"/>
        <v>1.867727535907062</v>
      </c>
      <c r="G479" s="239">
        <v>535.41</v>
      </c>
      <c r="H479" s="429" t="s">
        <v>123</v>
      </c>
      <c r="I479" s="429" t="s">
        <v>550</v>
      </c>
      <c r="J479" s="170" t="s">
        <v>96</v>
      </c>
      <c r="K479" s="170" t="s">
        <v>345</v>
      </c>
      <c r="L479" s="170" t="s">
        <v>113</v>
      </c>
      <c r="M479" s="75"/>
      <c r="N479" s="75"/>
      <c r="O479" s="75"/>
    </row>
    <row r="480" spans="1:15">
      <c r="A480" s="428">
        <v>46101</v>
      </c>
      <c r="B480" s="429" t="s">
        <v>1043</v>
      </c>
      <c r="C480" s="242" t="s">
        <v>402</v>
      </c>
      <c r="D480" s="429" t="s">
        <v>259</v>
      </c>
      <c r="E480" s="429">
        <v>2000</v>
      </c>
      <c r="F480" s="454">
        <f t="shared" si="7"/>
        <v>3.735455071814124</v>
      </c>
      <c r="G480" s="239">
        <v>535.41</v>
      </c>
      <c r="H480" s="429" t="s">
        <v>123</v>
      </c>
      <c r="I480" s="429" t="s">
        <v>569</v>
      </c>
      <c r="J480" s="170" t="s">
        <v>96</v>
      </c>
      <c r="K480" s="170" t="s">
        <v>345</v>
      </c>
      <c r="L480" s="170" t="s">
        <v>113</v>
      </c>
      <c r="M480" s="75"/>
      <c r="N480" s="75"/>
      <c r="O480" s="75"/>
    </row>
    <row r="481" spans="1:15">
      <c r="A481" s="428">
        <v>46101</v>
      </c>
      <c r="B481" s="429" t="s">
        <v>1052</v>
      </c>
      <c r="C481" s="170" t="s">
        <v>337</v>
      </c>
      <c r="D481" s="429" t="s">
        <v>259</v>
      </c>
      <c r="E481" s="429">
        <v>500</v>
      </c>
      <c r="F481" s="454">
        <f t="shared" si="7"/>
        <v>0.93386376795353099</v>
      </c>
      <c r="G481" s="239">
        <v>535.41</v>
      </c>
      <c r="H481" s="429" t="s">
        <v>123</v>
      </c>
      <c r="I481" s="429" t="s">
        <v>550</v>
      </c>
      <c r="J481" s="170" t="s">
        <v>96</v>
      </c>
      <c r="K481" s="170" t="s">
        <v>345</v>
      </c>
      <c r="L481" s="170" t="s">
        <v>113</v>
      </c>
      <c r="M481" s="75"/>
      <c r="N481" s="75"/>
      <c r="O481" s="75"/>
    </row>
    <row r="482" spans="1:15">
      <c r="A482" s="428">
        <v>46101</v>
      </c>
      <c r="B482" s="429" t="s">
        <v>1053</v>
      </c>
      <c r="C482" s="170" t="s">
        <v>337</v>
      </c>
      <c r="D482" s="429" t="s">
        <v>259</v>
      </c>
      <c r="E482" s="429">
        <v>500</v>
      </c>
      <c r="F482" s="454">
        <f t="shared" si="7"/>
        <v>0.93386376795353099</v>
      </c>
      <c r="G482" s="239">
        <v>535.41</v>
      </c>
      <c r="H482" s="429" t="s">
        <v>123</v>
      </c>
      <c r="I482" s="429" t="s">
        <v>550</v>
      </c>
      <c r="J482" s="170" t="s">
        <v>96</v>
      </c>
      <c r="K482" s="170" t="s">
        <v>345</v>
      </c>
      <c r="L482" s="170" t="s">
        <v>113</v>
      </c>
      <c r="M482" s="75"/>
      <c r="N482" s="75"/>
      <c r="O482" s="75"/>
    </row>
    <row r="483" spans="1:15">
      <c r="A483" s="428">
        <v>46101</v>
      </c>
      <c r="B483" s="429" t="s">
        <v>1053</v>
      </c>
      <c r="C483" s="170" t="s">
        <v>337</v>
      </c>
      <c r="D483" s="429" t="s">
        <v>259</v>
      </c>
      <c r="E483" s="429">
        <v>500</v>
      </c>
      <c r="F483" s="454">
        <f t="shared" si="7"/>
        <v>0.93386376795353099</v>
      </c>
      <c r="G483" s="239">
        <v>535.41</v>
      </c>
      <c r="H483" s="429" t="s">
        <v>123</v>
      </c>
      <c r="I483" s="429" t="s">
        <v>550</v>
      </c>
      <c r="J483" s="170" t="s">
        <v>96</v>
      </c>
      <c r="K483" s="170" t="s">
        <v>345</v>
      </c>
      <c r="L483" s="170" t="s">
        <v>113</v>
      </c>
      <c r="M483" s="75"/>
      <c r="N483" s="75"/>
      <c r="O483" s="75"/>
    </row>
    <row r="484" spans="1:15">
      <c r="A484" s="428">
        <v>46101</v>
      </c>
      <c r="B484" s="429" t="s">
        <v>1053</v>
      </c>
      <c r="C484" s="170" t="s">
        <v>337</v>
      </c>
      <c r="D484" s="429" t="s">
        <v>259</v>
      </c>
      <c r="E484" s="429">
        <v>500</v>
      </c>
      <c r="F484" s="454">
        <f t="shared" si="7"/>
        <v>0.93386376795353099</v>
      </c>
      <c r="G484" s="239">
        <v>535.41</v>
      </c>
      <c r="H484" s="429" t="s">
        <v>123</v>
      </c>
      <c r="I484" s="429" t="s">
        <v>550</v>
      </c>
      <c r="J484" s="170" t="s">
        <v>96</v>
      </c>
      <c r="K484" s="170" t="s">
        <v>345</v>
      </c>
      <c r="L484" s="170" t="s">
        <v>113</v>
      </c>
      <c r="M484" s="75"/>
      <c r="N484" s="75"/>
      <c r="O484" s="75"/>
    </row>
    <row r="485" spans="1:15">
      <c r="A485" s="428">
        <v>46101</v>
      </c>
      <c r="B485" s="429" t="s">
        <v>1053</v>
      </c>
      <c r="C485" s="170" t="s">
        <v>337</v>
      </c>
      <c r="D485" s="429" t="s">
        <v>259</v>
      </c>
      <c r="E485" s="429">
        <v>500</v>
      </c>
      <c r="F485" s="454">
        <f t="shared" si="7"/>
        <v>0.93386376795353099</v>
      </c>
      <c r="G485" s="239">
        <v>535.41</v>
      </c>
      <c r="H485" s="429" t="s">
        <v>123</v>
      </c>
      <c r="I485" s="429" t="s">
        <v>550</v>
      </c>
      <c r="J485" s="170" t="s">
        <v>96</v>
      </c>
      <c r="K485" s="170" t="s">
        <v>345</v>
      </c>
      <c r="L485" s="170" t="s">
        <v>113</v>
      </c>
      <c r="M485" s="75"/>
      <c r="N485" s="75"/>
      <c r="O485" s="75"/>
    </row>
    <row r="486" spans="1:15">
      <c r="A486" s="428">
        <v>46101</v>
      </c>
      <c r="B486" s="429" t="s">
        <v>1051</v>
      </c>
      <c r="C486" s="429" t="s">
        <v>542</v>
      </c>
      <c r="D486" s="429" t="s">
        <v>259</v>
      </c>
      <c r="E486" s="429">
        <v>10000</v>
      </c>
      <c r="F486" s="454">
        <f t="shared" si="7"/>
        <v>18.67727535907062</v>
      </c>
      <c r="G486" s="239">
        <v>535.41</v>
      </c>
      <c r="H486" s="429" t="s">
        <v>123</v>
      </c>
      <c r="I486" s="429" t="s">
        <v>571</v>
      </c>
      <c r="J486" s="170" t="s">
        <v>96</v>
      </c>
      <c r="K486" s="170" t="s">
        <v>345</v>
      </c>
      <c r="L486" s="170" t="s">
        <v>113</v>
      </c>
      <c r="M486" s="75"/>
      <c r="N486" s="75"/>
      <c r="O486" s="75"/>
    </row>
    <row r="487" spans="1:15">
      <c r="A487" s="457">
        <v>46101</v>
      </c>
      <c r="B487" s="242" t="s">
        <v>1029</v>
      </c>
      <c r="C487" s="170" t="s">
        <v>337</v>
      </c>
      <c r="D487" s="242" t="s">
        <v>259</v>
      </c>
      <c r="E487" s="242">
        <v>500</v>
      </c>
      <c r="F487" s="454">
        <f t="shared" si="7"/>
        <v>0.93386376795353099</v>
      </c>
      <c r="G487" s="239">
        <v>535.41</v>
      </c>
      <c r="H487" s="242" t="s">
        <v>122</v>
      </c>
      <c r="I487" s="242" t="s">
        <v>594</v>
      </c>
      <c r="J487" s="170" t="s">
        <v>96</v>
      </c>
      <c r="K487" s="170" t="s">
        <v>345</v>
      </c>
      <c r="L487" s="170" t="s">
        <v>113</v>
      </c>
      <c r="M487" s="75"/>
      <c r="N487" s="75"/>
      <c r="O487" s="75"/>
    </row>
    <row r="488" spans="1:15">
      <c r="A488" s="457">
        <v>46101</v>
      </c>
      <c r="B488" s="242" t="s">
        <v>1029</v>
      </c>
      <c r="C488" s="170" t="s">
        <v>337</v>
      </c>
      <c r="D488" s="242" t="s">
        <v>259</v>
      </c>
      <c r="E488" s="242">
        <v>500</v>
      </c>
      <c r="F488" s="454">
        <f t="shared" si="7"/>
        <v>0.93386376795353099</v>
      </c>
      <c r="G488" s="239">
        <v>535.41</v>
      </c>
      <c r="H488" s="242" t="s">
        <v>122</v>
      </c>
      <c r="I488" s="242" t="s">
        <v>594</v>
      </c>
      <c r="J488" s="170" t="s">
        <v>96</v>
      </c>
      <c r="K488" s="170" t="s">
        <v>345</v>
      </c>
      <c r="L488" s="170" t="s">
        <v>113</v>
      </c>
      <c r="M488" s="75"/>
      <c r="N488" s="75"/>
      <c r="O488" s="75"/>
    </row>
    <row r="489" spans="1:15">
      <c r="A489" s="457">
        <v>46101</v>
      </c>
      <c r="B489" s="242" t="s">
        <v>1029</v>
      </c>
      <c r="C489" s="170" t="s">
        <v>337</v>
      </c>
      <c r="D489" s="242" t="s">
        <v>259</v>
      </c>
      <c r="E489" s="242">
        <v>500</v>
      </c>
      <c r="F489" s="454">
        <f t="shared" si="7"/>
        <v>0.93386376795353099</v>
      </c>
      <c r="G489" s="239">
        <v>535.41</v>
      </c>
      <c r="H489" s="242" t="s">
        <v>122</v>
      </c>
      <c r="I489" s="242" t="s">
        <v>594</v>
      </c>
      <c r="J489" s="170" t="s">
        <v>96</v>
      </c>
      <c r="K489" s="170" t="s">
        <v>345</v>
      </c>
      <c r="L489" s="170" t="s">
        <v>113</v>
      </c>
      <c r="M489" s="75"/>
      <c r="N489" s="75"/>
      <c r="O489" s="75"/>
    </row>
    <row r="490" spans="1:15">
      <c r="A490" s="457">
        <v>46101</v>
      </c>
      <c r="B490" s="242" t="s">
        <v>1029</v>
      </c>
      <c r="C490" s="170" t="s">
        <v>337</v>
      </c>
      <c r="D490" s="242" t="s">
        <v>259</v>
      </c>
      <c r="E490" s="242">
        <v>500</v>
      </c>
      <c r="F490" s="454">
        <f t="shared" si="7"/>
        <v>0.93386376795353099</v>
      </c>
      <c r="G490" s="239">
        <v>535.41</v>
      </c>
      <c r="H490" s="242" t="s">
        <v>122</v>
      </c>
      <c r="I490" s="242" t="s">
        <v>594</v>
      </c>
      <c r="J490" s="170" t="s">
        <v>96</v>
      </c>
      <c r="K490" s="170" t="s">
        <v>345</v>
      </c>
      <c r="L490" s="170" t="s">
        <v>113</v>
      </c>
      <c r="M490" s="75"/>
      <c r="N490" s="75"/>
      <c r="O490" s="75"/>
    </row>
    <row r="491" spans="1:15">
      <c r="A491" s="457">
        <v>46101</v>
      </c>
      <c r="B491" s="242" t="s">
        <v>1025</v>
      </c>
      <c r="C491" s="170" t="s">
        <v>337</v>
      </c>
      <c r="D491" s="242" t="s">
        <v>259</v>
      </c>
      <c r="E491" s="242">
        <v>1000</v>
      </c>
      <c r="F491" s="454">
        <f t="shared" si="7"/>
        <v>1.867727535907062</v>
      </c>
      <c r="G491" s="239">
        <v>535.41</v>
      </c>
      <c r="H491" s="242" t="s">
        <v>131</v>
      </c>
      <c r="I491" s="242" t="s">
        <v>653</v>
      </c>
      <c r="J491" s="170" t="s">
        <v>96</v>
      </c>
      <c r="K491" s="170" t="s">
        <v>345</v>
      </c>
      <c r="L491" s="170" t="s">
        <v>113</v>
      </c>
      <c r="M491" s="75"/>
      <c r="N491" s="75"/>
      <c r="O491" s="75"/>
    </row>
    <row r="492" spans="1:15">
      <c r="A492" s="453">
        <v>46101</v>
      </c>
      <c r="B492" s="170" t="s">
        <v>1028</v>
      </c>
      <c r="C492" s="242" t="s">
        <v>402</v>
      </c>
      <c r="D492" s="170" t="s">
        <v>259</v>
      </c>
      <c r="E492" s="170">
        <v>9000</v>
      </c>
      <c r="F492" s="454">
        <f t="shared" si="7"/>
        <v>16.809547823163559</v>
      </c>
      <c r="G492" s="239">
        <v>535.41</v>
      </c>
      <c r="H492" s="170" t="s">
        <v>131</v>
      </c>
      <c r="I492" s="170" t="s">
        <v>678</v>
      </c>
      <c r="J492" s="170" t="s">
        <v>96</v>
      </c>
      <c r="K492" s="170" t="s">
        <v>345</v>
      </c>
      <c r="L492" s="170" t="s">
        <v>113</v>
      </c>
      <c r="M492" s="75"/>
      <c r="N492" s="75"/>
      <c r="O492" s="75"/>
    </row>
    <row r="493" spans="1:15">
      <c r="A493" s="457">
        <v>46101</v>
      </c>
      <c r="B493" s="242" t="s">
        <v>1025</v>
      </c>
      <c r="C493" s="170" t="s">
        <v>337</v>
      </c>
      <c r="D493" s="242" t="s">
        <v>259</v>
      </c>
      <c r="E493" s="242">
        <v>2500</v>
      </c>
      <c r="F493" s="454">
        <f t="shared" si="7"/>
        <v>4.669318839767655</v>
      </c>
      <c r="G493" s="239">
        <v>535.41</v>
      </c>
      <c r="H493" s="242" t="s">
        <v>131</v>
      </c>
      <c r="I493" s="242" t="s">
        <v>653</v>
      </c>
      <c r="J493" s="170" t="s">
        <v>96</v>
      </c>
      <c r="K493" s="170" t="s">
        <v>345</v>
      </c>
      <c r="L493" s="170" t="s">
        <v>113</v>
      </c>
      <c r="M493" s="75"/>
      <c r="N493" s="75"/>
      <c r="O493" s="75"/>
    </row>
    <row r="494" spans="1:15">
      <c r="A494" s="428">
        <v>46102</v>
      </c>
      <c r="B494" s="429" t="s">
        <v>1052</v>
      </c>
      <c r="C494" s="170" t="s">
        <v>337</v>
      </c>
      <c r="D494" s="429" t="s">
        <v>259</v>
      </c>
      <c r="E494" s="429">
        <v>500</v>
      </c>
      <c r="F494" s="454">
        <f t="shared" si="7"/>
        <v>0.93386376795353099</v>
      </c>
      <c r="G494" s="239">
        <v>535.41</v>
      </c>
      <c r="H494" s="429" t="s">
        <v>123</v>
      </c>
      <c r="I494" s="429" t="s">
        <v>550</v>
      </c>
      <c r="J494" s="170" t="s">
        <v>96</v>
      </c>
      <c r="K494" s="170" t="s">
        <v>345</v>
      </c>
      <c r="L494" s="170" t="s">
        <v>113</v>
      </c>
      <c r="M494" s="75"/>
      <c r="N494" s="75"/>
      <c r="O494" s="75"/>
    </row>
    <row r="495" spans="1:15">
      <c r="A495" s="428">
        <v>46102</v>
      </c>
      <c r="B495" s="429" t="s">
        <v>1053</v>
      </c>
      <c r="C495" s="170" t="s">
        <v>337</v>
      </c>
      <c r="D495" s="429" t="s">
        <v>259</v>
      </c>
      <c r="E495" s="429">
        <v>500</v>
      </c>
      <c r="F495" s="454">
        <f t="shared" si="7"/>
        <v>0.93386376795353099</v>
      </c>
      <c r="G495" s="239">
        <v>535.41</v>
      </c>
      <c r="H495" s="429" t="s">
        <v>123</v>
      </c>
      <c r="I495" s="429" t="s">
        <v>550</v>
      </c>
      <c r="J495" s="170" t="s">
        <v>96</v>
      </c>
      <c r="K495" s="170" t="s">
        <v>345</v>
      </c>
      <c r="L495" s="170" t="s">
        <v>113</v>
      </c>
      <c r="M495" s="75"/>
      <c r="N495" s="75"/>
      <c r="O495" s="75"/>
    </row>
    <row r="496" spans="1:15">
      <c r="A496" s="428">
        <v>46102</v>
      </c>
      <c r="B496" s="429" t="s">
        <v>1053</v>
      </c>
      <c r="C496" s="170" t="s">
        <v>337</v>
      </c>
      <c r="D496" s="429" t="s">
        <v>259</v>
      </c>
      <c r="E496" s="429">
        <v>500</v>
      </c>
      <c r="F496" s="454">
        <f t="shared" si="7"/>
        <v>0.93386376795353099</v>
      </c>
      <c r="G496" s="239">
        <v>535.41</v>
      </c>
      <c r="H496" s="429" t="s">
        <v>123</v>
      </c>
      <c r="I496" s="429" t="s">
        <v>550</v>
      </c>
      <c r="J496" s="170" t="s">
        <v>96</v>
      </c>
      <c r="K496" s="170" t="s">
        <v>345</v>
      </c>
      <c r="L496" s="170" t="s">
        <v>113</v>
      </c>
      <c r="M496" s="75"/>
      <c r="N496" s="75"/>
      <c r="O496" s="75"/>
    </row>
    <row r="497" spans="1:15">
      <c r="A497" s="428">
        <v>46102</v>
      </c>
      <c r="B497" s="429" t="s">
        <v>1053</v>
      </c>
      <c r="C497" s="170" t="s">
        <v>337</v>
      </c>
      <c r="D497" s="429" t="s">
        <v>259</v>
      </c>
      <c r="E497" s="429">
        <v>500</v>
      </c>
      <c r="F497" s="454">
        <f t="shared" si="7"/>
        <v>0.93386376795353099</v>
      </c>
      <c r="G497" s="239">
        <v>535.41</v>
      </c>
      <c r="H497" s="429" t="s">
        <v>123</v>
      </c>
      <c r="I497" s="429" t="s">
        <v>550</v>
      </c>
      <c r="J497" s="170" t="s">
        <v>96</v>
      </c>
      <c r="K497" s="170" t="s">
        <v>345</v>
      </c>
      <c r="L497" s="170" t="s">
        <v>113</v>
      </c>
      <c r="M497" s="75"/>
      <c r="N497" s="75"/>
      <c r="O497" s="75"/>
    </row>
    <row r="498" spans="1:15">
      <c r="A498" s="453">
        <v>46102</v>
      </c>
      <c r="B498" s="170" t="s">
        <v>1034</v>
      </c>
      <c r="C498" s="170" t="s">
        <v>406</v>
      </c>
      <c r="D498" s="170" t="s">
        <v>259</v>
      </c>
      <c r="E498" s="170">
        <v>40000</v>
      </c>
      <c r="F498" s="454">
        <f t="shared" si="7"/>
        <v>74.709101436282481</v>
      </c>
      <c r="G498" s="239">
        <v>535.41</v>
      </c>
      <c r="H498" s="170" t="s">
        <v>122</v>
      </c>
      <c r="I498" s="242" t="s">
        <v>623</v>
      </c>
      <c r="J498" s="170" t="s">
        <v>96</v>
      </c>
      <c r="K498" s="170" t="s">
        <v>345</v>
      </c>
      <c r="L498" s="170" t="s">
        <v>113</v>
      </c>
      <c r="M498" s="75"/>
      <c r="N498" s="75"/>
      <c r="O498" s="75"/>
    </row>
    <row r="499" spans="1:15">
      <c r="A499" s="457">
        <v>46102</v>
      </c>
      <c r="B499" s="242" t="s">
        <v>1025</v>
      </c>
      <c r="C499" s="170" t="s">
        <v>337</v>
      </c>
      <c r="D499" s="242" t="s">
        <v>259</v>
      </c>
      <c r="E499" s="242">
        <v>500</v>
      </c>
      <c r="F499" s="454">
        <f t="shared" si="7"/>
        <v>0.93386376795353099</v>
      </c>
      <c r="G499" s="239">
        <v>535.41</v>
      </c>
      <c r="H499" s="242" t="s">
        <v>122</v>
      </c>
      <c r="I499" s="242" t="s">
        <v>594</v>
      </c>
      <c r="J499" s="170" t="s">
        <v>96</v>
      </c>
      <c r="K499" s="170" t="s">
        <v>345</v>
      </c>
      <c r="L499" s="170" t="s">
        <v>113</v>
      </c>
      <c r="M499" s="75"/>
      <c r="N499" s="75"/>
      <c r="O499" s="75"/>
    </row>
    <row r="500" spans="1:15">
      <c r="A500" s="453">
        <v>46102</v>
      </c>
      <c r="B500" s="170" t="s">
        <v>1035</v>
      </c>
      <c r="C500" s="242" t="s">
        <v>402</v>
      </c>
      <c r="D500" s="170" t="s">
        <v>259</v>
      </c>
      <c r="E500" s="170">
        <v>2000</v>
      </c>
      <c r="F500" s="454">
        <f t="shared" si="7"/>
        <v>3.735455071814124</v>
      </c>
      <c r="G500" s="239">
        <v>535.41</v>
      </c>
      <c r="H500" s="170" t="s">
        <v>122</v>
      </c>
      <c r="I500" s="242" t="s">
        <v>624</v>
      </c>
      <c r="J500" s="170" t="s">
        <v>96</v>
      </c>
      <c r="K500" s="170" t="s">
        <v>345</v>
      </c>
      <c r="L500" s="170" t="s">
        <v>113</v>
      </c>
      <c r="M500" s="75"/>
      <c r="N500" s="75"/>
      <c r="O500" s="75"/>
    </row>
    <row r="501" spans="1:15">
      <c r="A501" s="457">
        <v>46102</v>
      </c>
      <c r="B501" s="242" t="s">
        <v>1094</v>
      </c>
      <c r="C501" s="170" t="s">
        <v>337</v>
      </c>
      <c r="D501" s="242" t="s">
        <v>259</v>
      </c>
      <c r="E501" s="242">
        <v>1000</v>
      </c>
      <c r="F501" s="454">
        <f t="shared" si="7"/>
        <v>1.867727535907062</v>
      </c>
      <c r="G501" s="239">
        <v>535.41</v>
      </c>
      <c r="H501" s="242" t="s">
        <v>122</v>
      </c>
      <c r="I501" s="242" t="s">
        <v>594</v>
      </c>
      <c r="J501" s="170" t="s">
        <v>96</v>
      </c>
      <c r="K501" s="170" t="s">
        <v>345</v>
      </c>
      <c r="L501" s="170" t="s">
        <v>113</v>
      </c>
      <c r="M501" s="75"/>
      <c r="N501" s="75"/>
      <c r="O501" s="75"/>
    </row>
    <row r="502" spans="1:15">
      <c r="A502" s="457">
        <v>46102</v>
      </c>
      <c r="B502" s="242" t="s">
        <v>1027</v>
      </c>
      <c r="C502" s="170" t="s">
        <v>337</v>
      </c>
      <c r="D502" s="242" t="s">
        <v>259</v>
      </c>
      <c r="E502" s="242">
        <v>500</v>
      </c>
      <c r="F502" s="454">
        <f t="shared" si="7"/>
        <v>0.93386376795353099</v>
      </c>
      <c r="G502" s="239">
        <v>535.41</v>
      </c>
      <c r="H502" s="242" t="s">
        <v>122</v>
      </c>
      <c r="I502" s="242" t="s">
        <v>594</v>
      </c>
      <c r="J502" s="170" t="s">
        <v>96</v>
      </c>
      <c r="K502" s="170" t="s">
        <v>345</v>
      </c>
      <c r="L502" s="170" t="s">
        <v>113</v>
      </c>
      <c r="M502" s="75"/>
      <c r="N502" s="75"/>
      <c r="O502" s="75"/>
    </row>
    <row r="503" spans="1:15">
      <c r="A503" s="457">
        <v>46102</v>
      </c>
      <c r="B503" s="242" t="s">
        <v>1027</v>
      </c>
      <c r="C503" s="170" t="s">
        <v>337</v>
      </c>
      <c r="D503" s="242" t="s">
        <v>259</v>
      </c>
      <c r="E503" s="242">
        <v>500</v>
      </c>
      <c r="F503" s="454">
        <f t="shared" si="7"/>
        <v>0.93386376795353099</v>
      </c>
      <c r="G503" s="239">
        <v>535.41</v>
      </c>
      <c r="H503" s="242" t="s">
        <v>122</v>
      </c>
      <c r="I503" s="242" t="s">
        <v>594</v>
      </c>
      <c r="J503" s="170" t="s">
        <v>96</v>
      </c>
      <c r="K503" s="170" t="s">
        <v>345</v>
      </c>
      <c r="L503" s="170" t="s">
        <v>113</v>
      </c>
      <c r="M503" s="75"/>
      <c r="N503" s="75"/>
      <c r="O503" s="75"/>
    </row>
    <row r="504" spans="1:15">
      <c r="A504" s="457">
        <v>46102</v>
      </c>
      <c r="B504" s="242" t="s">
        <v>1030</v>
      </c>
      <c r="C504" s="242" t="s">
        <v>542</v>
      </c>
      <c r="D504" s="242" t="s">
        <v>259</v>
      </c>
      <c r="E504" s="242">
        <v>70000</v>
      </c>
      <c r="F504" s="454">
        <f t="shared" si="7"/>
        <v>130.74092751349434</v>
      </c>
      <c r="G504" s="239">
        <v>535.41</v>
      </c>
      <c r="H504" s="242" t="s">
        <v>131</v>
      </c>
      <c r="I504" s="242" t="s">
        <v>679</v>
      </c>
      <c r="J504" s="170" t="s">
        <v>96</v>
      </c>
      <c r="K504" s="170" t="s">
        <v>345</v>
      </c>
      <c r="L504" s="170" t="s">
        <v>113</v>
      </c>
      <c r="M504" s="75"/>
      <c r="N504" s="75"/>
      <c r="O504" s="75"/>
    </row>
    <row r="505" spans="1:15">
      <c r="A505" s="457">
        <v>46102</v>
      </c>
      <c r="B505" s="242" t="s">
        <v>1025</v>
      </c>
      <c r="C505" s="170" t="s">
        <v>337</v>
      </c>
      <c r="D505" s="242" t="s">
        <v>259</v>
      </c>
      <c r="E505" s="242">
        <v>2500</v>
      </c>
      <c r="F505" s="454">
        <f t="shared" si="7"/>
        <v>4.669318839767655</v>
      </c>
      <c r="G505" s="239">
        <v>535.41</v>
      </c>
      <c r="H505" s="242" t="s">
        <v>131</v>
      </c>
      <c r="I505" s="242" t="s">
        <v>653</v>
      </c>
      <c r="J505" s="170" t="s">
        <v>96</v>
      </c>
      <c r="K505" s="170" t="s">
        <v>345</v>
      </c>
      <c r="L505" s="170" t="s">
        <v>113</v>
      </c>
      <c r="M505" s="75"/>
      <c r="N505" s="75"/>
      <c r="O505" s="75"/>
    </row>
    <row r="506" spans="1:15">
      <c r="A506" s="457">
        <v>46102</v>
      </c>
      <c r="B506" s="242" t="s">
        <v>1027</v>
      </c>
      <c r="C506" s="170" t="s">
        <v>337</v>
      </c>
      <c r="D506" s="242" t="s">
        <v>259</v>
      </c>
      <c r="E506" s="242">
        <v>500</v>
      </c>
      <c r="F506" s="454">
        <f t="shared" si="7"/>
        <v>0.93386376795353099</v>
      </c>
      <c r="G506" s="239">
        <v>535.41</v>
      </c>
      <c r="H506" s="242" t="s">
        <v>131</v>
      </c>
      <c r="I506" s="242" t="s">
        <v>653</v>
      </c>
      <c r="J506" s="170" t="s">
        <v>96</v>
      </c>
      <c r="K506" s="170" t="s">
        <v>345</v>
      </c>
      <c r="L506" s="170" t="s">
        <v>113</v>
      </c>
      <c r="M506" s="75"/>
      <c r="N506" s="75"/>
      <c r="O506" s="75"/>
    </row>
    <row r="507" spans="1:15">
      <c r="A507" s="457">
        <v>46103</v>
      </c>
      <c r="B507" s="242" t="s">
        <v>1027</v>
      </c>
      <c r="C507" s="170" t="s">
        <v>337</v>
      </c>
      <c r="D507" s="242" t="s">
        <v>259</v>
      </c>
      <c r="E507" s="242">
        <v>500</v>
      </c>
      <c r="F507" s="454">
        <f t="shared" si="7"/>
        <v>0.93386376795353099</v>
      </c>
      <c r="G507" s="239">
        <v>535.41</v>
      </c>
      <c r="H507" s="242" t="s">
        <v>122</v>
      </c>
      <c r="I507" s="242" t="s">
        <v>594</v>
      </c>
      <c r="J507" s="170" t="s">
        <v>96</v>
      </c>
      <c r="K507" s="170" t="s">
        <v>345</v>
      </c>
      <c r="L507" s="170" t="s">
        <v>113</v>
      </c>
      <c r="M507" s="75"/>
      <c r="N507" s="75"/>
      <c r="O507" s="75"/>
    </row>
    <row r="508" spans="1:15">
      <c r="A508" s="457">
        <v>46103</v>
      </c>
      <c r="B508" s="170" t="s">
        <v>1034</v>
      </c>
      <c r="C508" s="242" t="s">
        <v>406</v>
      </c>
      <c r="D508" s="242" t="s">
        <v>259</v>
      </c>
      <c r="E508" s="242">
        <v>10000</v>
      </c>
      <c r="F508" s="454">
        <f t="shared" si="7"/>
        <v>18.67727535907062</v>
      </c>
      <c r="G508" s="239">
        <v>535.41</v>
      </c>
      <c r="H508" s="242" t="s">
        <v>122</v>
      </c>
      <c r="I508" s="242" t="s">
        <v>1017</v>
      </c>
      <c r="J508" s="170" t="s">
        <v>96</v>
      </c>
      <c r="K508" s="170" t="s">
        <v>345</v>
      </c>
      <c r="L508" s="170" t="s">
        <v>113</v>
      </c>
      <c r="M508" s="75"/>
      <c r="N508" s="75"/>
      <c r="O508" s="75"/>
    </row>
    <row r="509" spans="1:15">
      <c r="A509" s="453">
        <v>46103</v>
      </c>
      <c r="B509" s="170" t="s">
        <v>1070</v>
      </c>
      <c r="C509" s="242" t="s">
        <v>402</v>
      </c>
      <c r="D509" s="170" t="s">
        <v>259</v>
      </c>
      <c r="E509" s="170">
        <v>20000</v>
      </c>
      <c r="F509" s="454">
        <f t="shared" si="7"/>
        <v>37.35455071814124</v>
      </c>
      <c r="G509" s="239">
        <v>535.41</v>
      </c>
      <c r="H509" s="170" t="s">
        <v>122</v>
      </c>
      <c r="I509" s="242" t="s">
        <v>626</v>
      </c>
      <c r="J509" s="170" t="s">
        <v>96</v>
      </c>
      <c r="K509" s="170" t="s">
        <v>345</v>
      </c>
      <c r="L509" s="170" t="s">
        <v>113</v>
      </c>
      <c r="M509" s="75"/>
      <c r="N509" s="75"/>
      <c r="O509" s="75"/>
    </row>
    <row r="510" spans="1:15">
      <c r="A510" s="457">
        <v>46103</v>
      </c>
      <c r="B510" s="242" t="s">
        <v>1027</v>
      </c>
      <c r="C510" s="170" t="s">
        <v>337</v>
      </c>
      <c r="D510" s="242" t="s">
        <v>259</v>
      </c>
      <c r="E510" s="242">
        <v>500</v>
      </c>
      <c r="F510" s="454">
        <f t="shared" si="7"/>
        <v>0.93386376795353099</v>
      </c>
      <c r="G510" s="239">
        <v>535.41</v>
      </c>
      <c r="H510" s="242" t="s">
        <v>131</v>
      </c>
      <c r="I510" s="242" t="s">
        <v>653</v>
      </c>
      <c r="J510" s="170" t="s">
        <v>96</v>
      </c>
      <c r="K510" s="170" t="s">
        <v>345</v>
      </c>
      <c r="L510" s="170" t="s">
        <v>113</v>
      </c>
      <c r="M510" s="75"/>
      <c r="N510" s="75"/>
      <c r="O510" s="75"/>
    </row>
    <row r="511" spans="1:15">
      <c r="A511" s="457">
        <v>46103</v>
      </c>
      <c r="B511" s="242" t="s">
        <v>1027</v>
      </c>
      <c r="C511" s="170" t="s">
        <v>337</v>
      </c>
      <c r="D511" s="242" t="s">
        <v>259</v>
      </c>
      <c r="E511" s="242">
        <v>500</v>
      </c>
      <c r="F511" s="454">
        <f t="shared" si="7"/>
        <v>0.93386376795353099</v>
      </c>
      <c r="G511" s="239">
        <v>535.41</v>
      </c>
      <c r="H511" s="242" t="s">
        <v>131</v>
      </c>
      <c r="I511" s="242" t="s">
        <v>653</v>
      </c>
      <c r="J511" s="170" t="s">
        <v>96</v>
      </c>
      <c r="K511" s="170" t="s">
        <v>345</v>
      </c>
      <c r="L511" s="170" t="s">
        <v>113</v>
      </c>
      <c r="M511" s="75"/>
      <c r="N511" s="75"/>
      <c r="O511" s="75"/>
    </row>
    <row r="512" spans="1:15">
      <c r="A512" s="457">
        <v>46104</v>
      </c>
      <c r="B512" s="242" t="s">
        <v>371</v>
      </c>
      <c r="C512" s="170" t="s">
        <v>337</v>
      </c>
      <c r="D512" s="458" t="s">
        <v>99</v>
      </c>
      <c r="E512" s="242">
        <v>1000</v>
      </c>
      <c r="F512" s="454">
        <f t="shared" si="7"/>
        <v>1.9254803020356539</v>
      </c>
      <c r="G512" s="239">
        <v>519.35093749999999</v>
      </c>
      <c r="H512" s="459" t="s">
        <v>111</v>
      </c>
      <c r="I512" s="170" t="s">
        <v>380</v>
      </c>
      <c r="J512" s="170" t="s">
        <v>96</v>
      </c>
      <c r="K512" s="170" t="s">
        <v>345</v>
      </c>
      <c r="L512" s="170" t="s">
        <v>113</v>
      </c>
      <c r="M512" s="361"/>
      <c r="N512" s="361"/>
      <c r="O512" s="271"/>
    </row>
    <row r="513" spans="1:15">
      <c r="A513" s="457">
        <v>46104</v>
      </c>
      <c r="B513" s="242" t="s">
        <v>366</v>
      </c>
      <c r="C513" s="170" t="s">
        <v>337</v>
      </c>
      <c r="D513" s="458" t="s">
        <v>99</v>
      </c>
      <c r="E513" s="242">
        <v>1000</v>
      </c>
      <c r="F513" s="454">
        <f t="shared" si="7"/>
        <v>1.9254803020356539</v>
      </c>
      <c r="G513" s="239">
        <v>519.35093749999999</v>
      </c>
      <c r="H513" s="459" t="s">
        <v>111</v>
      </c>
      <c r="I513" s="170" t="s">
        <v>380</v>
      </c>
      <c r="J513" s="170" t="s">
        <v>96</v>
      </c>
      <c r="K513" s="170" t="s">
        <v>345</v>
      </c>
      <c r="L513" s="170" t="s">
        <v>113</v>
      </c>
      <c r="M513" s="361"/>
      <c r="N513" s="361"/>
      <c r="O513" s="271"/>
    </row>
    <row r="514" spans="1:15">
      <c r="A514" s="457">
        <v>46104</v>
      </c>
      <c r="B514" s="242" t="s">
        <v>369</v>
      </c>
      <c r="C514" s="170" t="s">
        <v>337</v>
      </c>
      <c r="D514" s="458" t="s">
        <v>99</v>
      </c>
      <c r="E514" s="242">
        <v>1000</v>
      </c>
      <c r="F514" s="454">
        <f t="shared" ref="F514:F577" si="8">E514/G514</f>
        <v>1.9254803020356539</v>
      </c>
      <c r="G514" s="239">
        <v>519.35093749999999</v>
      </c>
      <c r="H514" s="459" t="s">
        <v>111</v>
      </c>
      <c r="I514" s="170" t="s">
        <v>380</v>
      </c>
      <c r="J514" s="170" t="s">
        <v>96</v>
      </c>
      <c r="K514" s="170" t="s">
        <v>345</v>
      </c>
      <c r="L514" s="170" t="s">
        <v>113</v>
      </c>
      <c r="M514" s="361"/>
      <c r="N514" s="361"/>
      <c r="O514" s="271"/>
    </row>
    <row r="515" spans="1:15">
      <c r="A515" s="457">
        <v>46104</v>
      </c>
      <c r="B515" s="242" t="s">
        <v>372</v>
      </c>
      <c r="C515" s="170" t="s">
        <v>337</v>
      </c>
      <c r="D515" s="458" t="s">
        <v>99</v>
      </c>
      <c r="E515" s="242">
        <v>1000</v>
      </c>
      <c r="F515" s="454">
        <f t="shared" si="8"/>
        <v>1.9254803020356539</v>
      </c>
      <c r="G515" s="239">
        <v>519.35093749999999</v>
      </c>
      <c r="H515" s="459" t="s">
        <v>111</v>
      </c>
      <c r="I515" s="170" t="s">
        <v>380</v>
      </c>
      <c r="J515" s="170" t="s">
        <v>96</v>
      </c>
      <c r="K515" s="170" t="s">
        <v>345</v>
      </c>
      <c r="L515" s="170" t="s">
        <v>113</v>
      </c>
      <c r="M515" s="361"/>
      <c r="N515" s="361"/>
      <c r="O515" s="271"/>
    </row>
    <row r="516" spans="1:15">
      <c r="A516" s="457">
        <v>46104</v>
      </c>
      <c r="B516" s="242" t="s">
        <v>373</v>
      </c>
      <c r="C516" s="170" t="s">
        <v>337</v>
      </c>
      <c r="D516" s="458" t="s">
        <v>99</v>
      </c>
      <c r="E516" s="242">
        <v>1000</v>
      </c>
      <c r="F516" s="454">
        <f t="shared" si="8"/>
        <v>1.9254803020356539</v>
      </c>
      <c r="G516" s="239">
        <v>519.35093749999999</v>
      </c>
      <c r="H516" s="459" t="s">
        <v>111</v>
      </c>
      <c r="I516" s="170" t="s">
        <v>380</v>
      </c>
      <c r="J516" s="170" t="s">
        <v>96</v>
      </c>
      <c r="K516" s="170" t="s">
        <v>345</v>
      </c>
      <c r="L516" s="170" t="s">
        <v>113</v>
      </c>
      <c r="M516" s="364"/>
      <c r="N516" s="364"/>
      <c r="O516" s="75"/>
    </row>
    <row r="517" spans="1:15">
      <c r="A517" s="457">
        <v>46104</v>
      </c>
      <c r="B517" s="242" t="s">
        <v>189</v>
      </c>
      <c r="C517" s="170" t="s">
        <v>337</v>
      </c>
      <c r="D517" s="458" t="s">
        <v>99</v>
      </c>
      <c r="E517" s="242">
        <v>1000</v>
      </c>
      <c r="F517" s="454">
        <f t="shared" si="8"/>
        <v>1.9254803020356539</v>
      </c>
      <c r="G517" s="239">
        <v>519.35093749999999</v>
      </c>
      <c r="H517" s="459" t="s">
        <v>111</v>
      </c>
      <c r="I517" s="170" t="s">
        <v>380</v>
      </c>
      <c r="J517" s="170" t="s">
        <v>96</v>
      </c>
      <c r="K517" s="170" t="s">
        <v>345</v>
      </c>
      <c r="L517" s="170" t="s">
        <v>113</v>
      </c>
      <c r="M517" s="364"/>
      <c r="N517" s="364"/>
      <c r="O517" s="75"/>
    </row>
    <row r="518" spans="1:15">
      <c r="A518" s="457">
        <v>46104</v>
      </c>
      <c r="B518" s="242" t="s">
        <v>475</v>
      </c>
      <c r="C518" s="242" t="s">
        <v>463</v>
      </c>
      <c r="D518" s="242" t="s">
        <v>98</v>
      </c>
      <c r="E518" s="460">
        <v>2520</v>
      </c>
      <c r="F518" s="454">
        <f t="shared" si="8"/>
        <v>4.706673390485796</v>
      </c>
      <c r="G518" s="239">
        <v>535.41</v>
      </c>
      <c r="H518" s="242" t="s">
        <v>168</v>
      </c>
      <c r="I518" s="170" t="s">
        <v>524</v>
      </c>
      <c r="J518" s="170" t="s">
        <v>96</v>
      </c>
      <c r="K518" s="170" t="s">
        <v>345</v>
      </c>
      <c r="L518" s="170" t="s">
        <v>113</v>
      </c>
      <c r="M518" s="75"/>
      <c r="N518" s="75"/>
      <c r="O518" s="75"/>
    </row>
    <row r="519" spans="1:15">
      <c r="A519" s="467">
        <v>46104</v>
      </c>
      <c r="B519" s="242" t="s">
        <v>476</v>
      </c>
      <c r="C519" s="170" t="s">
        <v>337</v>
      </c>
      <c r="D519" s="242" t="s">
        <v>98</v>
      </c>
      <c r="E519" s="298">
        <v>1000</v>
      </c>
      <c r="F519" s="454">
        <f t="shared" si="8"/>
        <v>1.867727535907062</v>
      </c>
      <c r="G519" s="239">
        <v>535.41</v>
      </c>
      <c r="H519" s="242" t="s">
        <v>168</v>
      </c>
      <c r="I519" s="242" t="s">
        <v>510</v>
      </c>
      <c r="J519" s="170" t="s">
        <v>96</v>
      </c>
      <c r="K519" s="170" t="s">
        <v>345</v>
      </c>
      <c r="L519" s="170" t="s">
        <v>113</v>
      </c>
      <c r="M519" s="75"/>
      <c r="N519" s="75"/>
      <c r="O519" s="75"/>
    </row>
    <row r="520" spans="1:15">
      <c r="A520" s="467">
        <v>46104</v>
      </c>
      <c r="B520" s="242" t="s">
        <v>470</v>
      </c>
      <c r="C520" s="170" t="s">
        <v>337</v>
      </c>
      <c r="D520" s="242" t="s">
        <v>98</v>
      </c>
      <c r="E520" s="298">
        <v>1000</v>
      </c>
      <c r="F520" s="454">
        <f t="shared" si="8"/>
        <v>1.867727535907062</v>
      </c>
      <c r="G520" s="239">
        <v>535.41</v>
      </c>
      <c r="H520" s="242" t="s">
        <v>168</v>
      </c>
      <c r="I520" s="242" t="s">
        <v>510</v>
      </c>
      <c r="J520" s="170" t="s">
        <v>96</v>
      </c>
      <c r="K520" s="170" t="s">
        <v>345</v>
      </c>
      <c r="L520" s="170" t="s">
        <v>113</v>
      </c>
      <c r="M520" s="75"/>
      <c r="N520" s="75"/>
      <c r="O520" s="75"/>
    </row>
    <row r="521" spans="1:15">
      <c r="A521" s="453">
        <v>46104</v>
      </c>
      <c r="B521" s="170" t="s">
        <v>1027</v>
      </c>
      <c r="C521" s="242" t="s">
        <v>402</v>
      </c>
      <c r="D521" s="170" t="s">
        <v>259</v>
      </c>
      <c r="E521" s="170">
        <v>8000</v>
      </c>
      <c r="F521" s="454">
        <f t="shared" si="8"/>
        <v>14.941820287256496</v>
      </c>
      <c r="G521" s="239">
        <v>535.41</v>
      </c>
      <c r="H521" s="170" t="s">
        <v>122</v>
      </c>
      <c r="I521" s="242" t="s">
        <v>627</v>
      </c>
      <c r="J521" s="170" t="s">
        <v>96</v>
      </c>
      <c r="K521" s="170" t="s">
        <v>345</v>
      </c>
      <c r="L521" s="170" t="s">
        <v>113</v>
      </c>
      <c r="M521" s="75"/>
      <c r="N521" s="75"/>
      <c r="O521" s="75"/>
    </row>
    <row r="522" spans="1:15">
      <c r="A522" s="453">
        <v>46104</v>
      </c>
      <c r="B522" s="170" t="s">
        <v>1055</v>
      </c>
      <c r="C522" s="170" t="s">
        <v>542</v>
      </c>
      <c r="D522" s="170" t="s">
        <v>259</v>
      </c>
      <c r="E522" s="170">
        <v>20000</v>
      </c>
      <c r="F522" s="454">
        <f t="shared" si="8"/>
        <v>37.35455071814124</v>
      </c>
      <c r="G522" s="239">
        <v>535.41</v>
      </c>
      <c r="H522" s="170" t="s">
        <v>131</v>
      </c>
      <c r="I522" s="170" t="s">
        <v>680</v>
      </c>
      <c r="J522" s="170" t="s">
        <v>96</v>
      </c>
      <c r="K522" s="170" t="s">
        <v>345</v>
      </c>
      <c r="L522" s="170" t="s">
        <v>113</v>
      </c>
      <c r="M522" s="75"/>
      <c r="N522" s="75"/>
      <c r="O522" s="75"/>
    </row>
    <row r="523" spans="1:15">
      <c r="A523" s="457">
        <v>46104</v>
      </c>
      <c r="B523" s="242" t="s">
        <v>1027</v>
      </c>
      <c r="C523" s="170" t="s">
        <v>337</v>
      </c>
      <c r="D523" s="242" t="s">
        <v>259</v>
      </c>
      <c r="E523" s="242">
        <v>500</v>
      </c>
      <c r="F523" s="454">
        <f t="shared" si="8"/>
        <v>0.93386376795353099</v>
      </c>
      <c r="G523" s="239">
        <v>535.41</v>
      </c>
      <c r="H523" s="242" t="s">
        <v>131</v>
      </c>
      <c r="I523" s="242" t="s">
        <v>653</v>
      </c>
      <c r="J523" s="170" t="s">
        <v>96</v>
      </c>
      <c r="K523" s="170" t="s">
        <v>345</v>
      </c>
      <c r="L523" s="170" t="s">
        <v>113</v>
      </c>
      <c r="M523" s="75"/>
      <c r="N523" s="75"/>
      <c r="O523" s="75"/>
    </row>
    <row r="524" spans="1:15">
      <c r="A524" s="453">
        <v>46104</v>
      </c>
      <c r="B524" s="170" t="s">
        <v>1028</v>
      </c>
      <c r="C524" s="242" t="s">
        <v>402</v>
      </c>
      <c r="D524" s="170" t="s">
        <v>259</v>
      </c>
      <c r="E524" s="170">
        <v>9000</v>
      </c>
      <c r="F524" s="454">
        <f t="shared" si="8"/>
        <v>16.809547823163559</v>
      </c>
      <c r="G524" s="239">
        <v>535.41</v>
      </c>
      <c r="H524" s="170" t="s">
        <v>131</v>
      </c>
      <c r="I524" s="170" t="s">
        <v>681</v>
      </c>
      <c r="J524" s="170" t="s">
        <v>96</v>
      </c>
      <c r="K524" s="170" t="s">
        <v>345</v>
      </c>
      <c r="L524" s="170" t="s">
        <v>113</v>
      </c>
      <c r="M524" s="75"/>
      <c r="N524" s="75"/>
      <c r="O524" s="75"/>
    </row>
    <row r="525" spans="1:15">
      <c r="A525" s="457">
        <v>46104</v>
      </c>
      <c r="B525" s="242" t="s">
        <v>1027</v>
      </c>
      <c r="C525" s="170" t="s">
        <v>337</v>
      </c>
      <c r="D525" s="242" t="s">
        <v>259</v>
      </c>
      <c r="E525" s="242">
        <v>500</v>
      </c>
      <c r="F525" s="454">
        <f t="shared" si="8"/>
        <v>0.93386376795353099</v>
      </c>
      <c r="G525" s="239">
        <v>535.41</v>
      </c>
      <c r="H525" s="242" t="s">
        <v>131</v>
      </c>
      <c r="I525" s="242" t="s">
        <v>653</v>
      </c>
      <c r="J525" s="170" t="s">
        <v>96</v>
      </c>
      <c r="K525" s="170" t="s">
        <v>345</v>
      </c>
      <c r="L525" s="170" t="s">
        <v>113</v>
      </c>
      <c r="M525" s="75"/>
      <c r="N525" s="75"/>
      <c r="O525" s="75"/>
    </row>
    <row r="526" spans="1:15">
      <c r="A526" s="457">
        <v>46104</v>
      </c>
      <c r="B526" s="242" t="s">
        <v>1027</v>
      </c>
      <c r="C526" s="170" t="s">
        <v>337</v>
      </c>
      <c r="D526" s="242" t="s">
        <v>259</v>
      </c>
      <c r="E526" s="242">
        <v>500</v>
      </c>
      <c r="F526" s="454">
        <f t="shared" si="8"/>
        <v>0.93386376795353099</v>
      </c>
      <c r="G526" s="239">
        <v>535.41</v>
      </c>
      <c r="H526" s="242" t="s">
        <v>131</v>
      </c>
      <c r="I526" s="242" t="s">
        <v>653</v>
      </c>
      <c r="J526" s="170" t="s">
        <v>96</v>
      </c>
      <c r="K526" s="170" t="s">
        <v>345</v>
      </c>
      <c r="L526" s="170" t="s">
        <v>113</v>
      </c>
      <c r="M526" s="75"/>
      <c r="N526" s="75"/>
      <c r="O526" s="75"/>
    </row>
    <row r="527" spans="1:15">
      <c r="A527" s="457">
        <v>46104</v>
      </c>
      <c r="B527" s="242" t="s">
        <v>1027</v>
      </c>
      <c r="C527" s="170" t="s">
        <v>337</v>
      </c>
      <c r="D527" s="242" t="s">
        <v>259</v>
      </c>
      <c r="E527" s="242">
        <v>500</v>
      </c>
      <c r="F527" s="454">
        <f t="shared" si="8"/>
        <v>0.93386376795353099</v>
      </c>
      <c r="G527" s="239">
        <v>535.41</v>
      </c>
      <c r="H527" s="242" t="s">
        <v>131</v>
      </c>
      <c r="I527" s="242" t="s">
        <v>653</v>
      </c>
      <c r="J527" s="170" t="s">
        <v>96</v>
      </c>
      <c r="K527" s="170" t="s">
        <v>345</v>
      </c>
      <c r="L527" s="170" t="s">
        <v>113</v>
      </c>
      <c r="M527" s="75"/>
      <c r="N527" s="75"/>
      <c r="O527" s="75"/>
    </row>
    <row r="528" spans="1:15">
      <c r="A528" s="457">
        <v>46104</v>
      </c>
      <c r="B528" s="242" t="s">
        <v>1027</v>
      </c>
      <c r="C528" s="170" t="s">
        <v>337</v>
      </c>
      <c r="D528" s="242" t="s">
        <v>259</v>
      </c>
      <c r="E528" s="242">
        <v>500</v>
      </c>
      <c r="F528" s="454">
        <f t="shared" si="8"/>
        <v>0.93386376795353099</v>
      </c>
      <c r="G528" s="239">
        <v>535.41</v>
      </c>
      <c r="H528" s="242" t="s">
        <v>131</v>
      </c>
      <c r="I528" s="242" t="s">
        <v>653</v>
      </c>
      <c r="J528" s="170" t="s">
        <v>96</v>
      </c>
      <c r="K528" s="170" t="s">
        <v>345</v>
      </c>
      <c r="L528" s="170" t="s">
        <v>113</v>
      </c>
      <c r="M528" s="75"/>
      <c r="N528" s="75"/>
      <c r="O528" s="75"/>
    </row>
    <row r="529" spans="1:15">
      <c r="A529" s="457">
        <v>46104</v>
      </c>
      <c r="B529" s="242" t="s">
        <v>1095</v>
      </c>
      <c r="C529" s="242" t="s">
        <v>647</v>
      </c>
      <c r="D529" s="242" t="s">
        <v>259</v>
      </c>
      <c r="E529" s="242">
        <v>3400</v>
      </c>
      <c r="F529" s="454">
        <f t="shared" si="8"/>
        <v>6.3502736220840106</v>
      </c>
      <c r="G529" s="239">
        <v>535.41</v>
      </c>
      <c r="H529" s="242" t="s">
        <v>131</v>
      </c>
      <c r="I529" s="242" t="s">
        <v>658</v>
      </c>
      <c r="J529" s="170" t="s">
        <v>96</v>
      </c>
      <c r="K529" s="170" t="s">
        <v>345</v>
      </c>
      <c r="L529" s="170" t="s">
        <v>113</v>
      </c>
      <c r="M529" s="75"/>
      <c r="N529" s="75"/>
      <c r="O529" s="75"/>
    </row>
    <row r="530" spans="1:15">
      <c r="A530" s="457">
        <v>46104</v>
      </c>
      <c r="B530" s="242" t="s">
        <v>1027</v>
      </c>
      <c r="C530" s="170" t="s">
        <v>337</v>
      </c>
      <c r="D530" s="242" t="s">
        <v>259</v>
      </c>
      <c r="E530" s="242">
        <v>500</v>
      </c>
      <c r="F530" s="454">
        <f t="shared" si="8"/>
        <v>0.93386376795353099</v>
      </c>
      <c r="G530" s="239">
        <v>535.41</v>
      </c>
      <c r="H530" s="242" t="s">
        <v>131</v>
      </c>
      <c r="I530" s="242" t="s">
        <v>653</v>
      </c>
      <c r="J530" s="170" t="s">
        <v>96</v>
      </c>
      <c r="K530" s="170" t="s">
        <v>345</v>
      </c>
      <c r="L530" s="170" t="s">
        <v>113</v>
      </c>
      <c r="M530" s="75"/>
      <c r="N530" s="75"/>
      <c r="O530" s="75"/>
    </row>
    <row r="531" spans="1:15">
      <c r="A531" s="457">
        <v>46104</v>
      </c>
      <c r="B531" s="242" t="s">
        <v>1027</v>
      </c>
      <c r="C531" s="170" t="s">
        <v>337</v>
      </c>
      <c r="D531" s="242" t="s">
        <v>259</v>
      </c>
      <c r="E531" s="242">
        <v>500</v>
      </c>
      <c r="F531" s="454">
        <f t="shared" si="8"/>
        <v>0.93386376795353099</v>
      </c>
      <c r="G531" s="239">
        <v>535.41</v>
      </c>
      <c r="H531" s="242" t="s">
        <v>131</v>
      </c>
      <c r="I531" s="242" t="s">
        <v>653</v>
      </c>
      <c r="J531" s="170" t="s">
        <v>96</v>
      </c>
      <c r="K531" s="170" t="s">
        <v>345</v>
      </c>
      <c r="L531" s="170" t="s">
        <v>113</v>
      </c>
      <c r="M531" s="75"/>
      <c r="N531" s="75"/>
      <c r="O531" s="75"/>
    </row>
    <row r="532" spans="1:15" s="246" customFormat="1">
      <c r="A532" s="453">
        <v>46105</v>
      </c>
      <c r="B532" s="170" t="s">
        <v>355</v>
      </c>
      <c r="C532" s="170" t="s">
        <v>104</v>
      </c>
      <c r="D532" s="232" t="s">
        <v>99</v>
      </c>
      <c r="E532" s="173">
        <v>150000</v>
      </c>
      <c r="F532" s="454">
        <f t="shared" si="8"/>
        <v>281.57452760896928</v>
      </c>
      <c r="G532" s="239">
        <v>532.71864210781655</v>
      </c>
      <c r="H532" s="170" t="s">
        <v>111</v>
      </c>
      <c r="I532" s="170" t="s">
        <v>386</v>
      </c>
      <c r="J532" s="170" t="s">
        <v>96</v>
      </c>
      <c r="K532" s="170" t="s">
        <v>345</v>
      </c>
      <c r="L532" s="170" t="s">
        <v>113</v>
      </c>
      <c r="M532" s="361"/>
      <c r="N532" s="361"/>
      <c r="O532" s="247"/>
    </row>
    <row r="533" spans="1:15">
      <c r="A533" s="457">
        <v>46105</v>
      </c>
      <c r="B533" s="242" t="s">
        <v>186</v>
      </c>
      <c r="C533" s="170" t="s">
        <v>337</v>
      </c>
      <c r="D533" s="458" t="s">
        <v>99</v>
      </c>
      <c r="E533" s="242">
        <v>1000</v>
      </c>
      <c r="F533" s="454">
        <f t="shared" si="8"/>
        <v>1.9254803020356539</v>
      </c>
      <c r="G533" s="239">
        <v>519.35093749999999</v>
      </c>
      <c r="H533" s="459" t="s">
        <v>111</v>
      </c>
      <c r="I533" s="170" t="s">
        <v>380</v>
      </c>
      <c r="J533" s="170" t="s">
        <v>96</v>
      </c>
      <c r="K533" s="170" t="s">
        <v>345</v>
      </c>
      <c r="L533" s="170" t="s">
        <v>113</v>
      </c>
      <c r="M533" s="364"/>
      <c r="N533" s="364"/>
      <c r="O533" s="75"/>
    </row>
    <row r="534" spans="1:15">
      <c r="A534" s="457">
        <v>46105</v>
      </c>
      <c r="B534" s="242" t="s">
        <v>192</v>
      </c>
      <c r="C534" s="170" t="s">
        <v>337</v>
      </c>
      <c r="D534" s="458" t="s">
        <v>99</v>
      </c>
      <c r="E534" s="242">
        <v>1000</v>
      </c>
      <c r="F534" s="454">
        <f t="shared" si="8"/>
        <v>1.9254803020356539</v>
      </c>
      <c r="G534" s="239">
        <v>519.35093749999999</v>
      </c>
      <c r="H534" s="459" t="s">
        <v>111</v>
      </c>
      <c r="I534" s="170" t="s">
        <v>380</v>
      </c>
      <c r="J534" s="170" t="s">
        <v>96</v>
      </c>
      <c r="K534" s="170" t="s">
        <v>345</v>
      </c>
      <c r="L534" s="170" t="s">
        <v>113</v>
      </c>
      <c r="M534" s="361"/>
      <c r="N534" s="361"/>
      <c r="O534" s="271"/>
    </row>
    <row r="535" spans="1:15">
      <c r="A535" s="457">
        <v>46105</v>
      </c>
      <c r="B535" s="456" t="s">
        <v>374</v>
      </c>
      <c r="C535" s="170" t="s">
        <v>110</v>
      </c>
      <c r="D535" s="232" t="s">
        <v>99</v>
      </c>
      <c r="E535" s="242">
        <v>10000</v>
      </c>
      <c r="F535" s="454">
        <f t="shared" si="8"/>
        <v>19.25480302035654</v>
      </c>
      <c r="G535" s="239">
        <v>519.35093749999999</v>
      </c>
      <c r="H535" s="459" t="s">
        <v>111</v>
      </c>
      <c r="I535" s="170" t="s">
        <v>392</v>
      </c>
      <c r="J535" s="170" t="s">
        <v>96</v>
      </c>
      <c r="K535" s="170" t="s">
        <v>345</v>
      </c>
      <c r="L535" s="170" t="s">
        <v>113</v>
      </c>
      <c r="M535" s="361"/>
      <c r="N535" s="361"/>
      <c r="O535" s="271"/>
    </row>
    <row r="536" spans="1:15">
      <c r="A536" s="461">
        <v>46105</v>
      </c>
      <c r="B536" s="462" t="s">
        <v>398</v>
      </c>
      <c r="C536" s="462" t="s">
        <v>110</v>
      </c>
      <c r="D536" s="463" t="s">
        <v>97</v>
      </c>
      <c r="E536" s="464">
        <v>7500</v>
      </c>
      <c r="F536" s="454">
        <f t="shared" si="8"/>
        <v>14.007956519302965</v>
      </c>
      <c r="G536" s="239">
        <v>535.41</v>
      </c>
      <c r="H536" s="165" t="s">
        <v>128</v>
      </c>
      <c r="I536" s="464" t="s">
        <v>429</v>
      </c>
      <c r="J536" s="170" t="s">
        <v>96</v>
      </c>
      <c r="K536" s="170" t="s">
        <v>345</v>
      </c>
      <c r="L536" s="170" t="s">
        <v>113</v>
      </c>
      <c r="M536" s="75"/>
      <c r="N536" s="75"/>
      <c r="O536" s="75"/>
    </row>
    <row r="537" spans="1:15">
      <c r="A537" s="467">
        <v>46105</v>
      </c>
      <c r="B537" s="242" t="s">
        <v>469</v>
      </c>
      <c r="C537" s="170" t="s">
        <v>337</v>
      </c>
      <c r="D537" s="242" t="s">
        <v>98</v>
      </c>
      <c r="E537" s="298">
        <v>1000</v>
      </c>
      <c r="F537" s="454">
        <f t="shared" si="8"/>
        <v>1.867727535907062</v>
      </c>
      <c r="G537" s="239">
        <v>535.41</v>
      </c>
      <c r="H537" s="242" t="s">
        <v>168</v>
      </c>
      <c r="I537" s="242" t="s">
        <v>510</v>
      </c>
      <c r="J537" s="170" t="s">
        <v>96</v>
      </c>
      <c r="K537" s="170" t="s">
        <v>345</v>
      </c>
      <c r="L537" s="170" t="s">
        <v>113</v>
      </c>
      <c r="M537" s="75"/>
      <c r="N537" s="75"/>
      <c r="O537" s="75"/>
    </row>
    <row r="538" spans="1:15">
      <c r="A538" s="467">
        <v>46105</v>
      </c>
      <c r="B538" s="242" t="s">
        <v>477</v>
      </c>
      <c r="C538" s="170" t="s">
        <v>337</v>
      </c>
      <c r="D538" s="242" t="s">
        <v>98</v>
      </c>
      <c r="E538" s="298">
        <v>500</v>
      </c>
      <c r="F538" s="454">
        <f t="shared" si="8"/>
        <v>0.93386376795353099</v>
      </c>
      <c r="G538" s="239">
        <v>535.41</v>
      </c>
      <c r="H538" s="242" t="s">
        <v>168</v>
      </c>
      <c r="I538" s="242" t="s">
        <v>510</v>
      </c>
      <c r="J538" s="170" t="s">
        <v>96</v>
      </c>
      <c r="K538" s="170" t="s">
        <v>345</v>
      </c>
      <c r="L538" s="170" t="s">
        <v>113</v>
      </c>
      <c r="M538" s="75"/>
      <c r="N538" s="75"/>
      <c r="O538" s="75"/>
    </row>
    <row r="539" spans="1:15">
      <c r="A539" s="467">
        <v>46105</v>
      </c>
      <c r="B539" s="242" t="s">
        <v>478</v>
      </c>
      <c r="C539" s="170" t="s">
        <v>337</v>
      </c>
      <c r="D539" s="242" t="s">
        <v>98</v>
      </c>
      <c r="E539" s="298">
        <v>1000</v>
      </c>
      <c r="F539" s="454">
        <f t="shared" si="8"/>
        <v>1.867727535907062</v>
      </c>
      <c r="G539" s="239">
        <v>535.41</v>
      </c>
      <c r="H539" s="242" t="s">
        <v>168</v>
      </c>
      <c r="I539" s="242" t="s">
        <v>510</v>
      </c>
      <c r="J539" s="170" t="s">
        <v>96</v>
      </c>
      <c r="K539" s="170" t="s">
        <v>345</v>
      </c>
      <c r="L539" s="170" t="s">
        <v>113</v>
      </c>
      <c r="M539" s="75"/>
      <c r="N539" s="75"/>
      <c r="O539" s="75"/>
    </row>
    <row r="540" spans="1:15">
      <c r="A540" s="467">
        <v>46105</v>
      </c>
      <c r="B540" s="242" t="s">
        <v>479</v>
      </c>
      <c r="C540" s="242" t="s">
        <v>110</v>
      </c>
      <c r="D540" s="242" t="s">
        <v>99</v>
      </c>
      <c r="E540" s="298">
        <v>5000</v>
      </c>
      <c r="F540" s="454">
        <f t="shared" si="8"/>
        <v>9.3386376795353101</v>
      </c>
      <c r="G540" s="239">
        <v>535.41</v>
      </c>
      <c r="H540" s="242" t="s">
        <v>168</v>
      </c>
      <c r="I540" s="242" t="s">
        <v>525</v>
      </c>
      <c r="J540" s="170" t="s">
        <v>96</v>
      </c>
      <c r="K540" s="170" t="s">
        <v>345</v>
      </c>
      <c r="L540" s="170" t="s">
        <v>113</v>
      </c>
      <c r="M540" s="75"/>
      <c r="N540" s="75"/>
      <c r="O540" s="75"/>
    </row>
    <row r="541" spans="1:15">
      <c r="A541" s="428">
        <v>46105</v>
      </c>
      <c r="B541" s="429" t="s">
        <v>1052</v>
      </c>
      <c r="C541" s="170" t="s">
        <v>337</v>
      </c>
      <c r="D541" s="429" t="s">
        <v>259</v>
      </c>
      <c r="E541" s="429">
        <v>500</v>
      </c>
      <c r="F541" s="454">
        <f t="shared" si="8"/>
        <v>0.93386376795353099</v>
      </c>
      <c r="G541" s="239">
        <v>535.41</v>
      </c>
      <c r="H541" s="429" t="s">
        <v>123</v>
      </c>
      <c r="I541" s="429" t="s">
        <v>550</v>
      </c>
      <c r="J541" s="170" t="s">
        <v>96</v>
      </c>
      <c r="K541" s="170" t="s">
        <v>345</v>
      </c>
      <c r="L541" s="170" t="s">
        <v>113</v>
      </c>
      <c r="M541" s="75"/>
      <c r="N541" s="75"/>
      <c r="O541" s="75"/>
    </row>
    <row r="542" spans="1:15">
      <c r="A542" s="428">
        <v>46105</v>
      </c>
      <c r="B542" s="429" t="s">
        <v>1028</v>
      </c>
      <c r="C542" s="242" t="s">
        <v>402</v>
      </c>
      <c r="D542" s="429" t="s">
        <v>259</v>
      </c>
      <c r="E542" s="429">
        <v>3500</v>
      </c>
      <c r="F542" s="454">
        <f t="shared" si="8"/>
        <v>6.5370463756747172</v>
      </c>
      <c r="G542" s="239">
        <v>535.41</v>
      </c>
      <c r="H542" s="429" t="s">
        <v>123</v>
      </c>
      <c r="I542" s="429" t="s">
        <v>572</v>
      </c>
      <c r="J542" s="170" t="s">
        <v>96</v>
      </c>
      <c r="K542" s="170" t="s">
        <v>345</v>
      </c>
      <c r="L542" s="170" t="s">
        <v>113</v>
      </c>
      <c r="M542" s="75"/>
      <c r="N542" s="75"/>
      <c r="O542" s="75"/>
    </row>
    <row r="543" spans="1:15">
      <c r="A543" s="428">
        <v>46105</v>
      </c>
      <c r="B543" s="429" t="s">
        <v>1028</v>
      </c>
      <c r="C543" s="242" t="s">
        <v>402</v>
      </c>
      <c r="D543" s="429" t="s">
        <v>259</v>
      </c>
      <c r="E543" s="429">
        <v>3500</v>
      </c>
      <c r="F543" s="454">
        <f t="shared" si="8"/>
        <v>6.5370463756747172</v>
      </c>
      <c r="G543" s="239">
        <v>535.41</v>
      </c>
      <c r="H543" s="429" t="s">
        <v>123</v>
      </c>
      <c r="I543" s="429" t="s">
        <v>573</v>
      </c>
      <c r="J543" s="170" t="s">
        <v>96</v>
      </c>
      <c r="K543" s="170" t="s">
        <v>345</v>
      </c>
      <c r="L543" s="170" t="s">
        <v>113</v>
      </c>
      <c r="M543" s="75"/>
      <c r="N543" s="75"/>
      <c r="O543" s="75"/>
    </row>
    <row r="544" spans="1:15">
      <c r="A544" s="428">
        <v>46105</v>
      </c>
      <c r="B544" s="429" t="s">
        <v>1053</v>
      </c>
      <c r="C544" s="170" t="s">
        <v>337</v>
      </c>
      <c r="D544" s="429" t="s">
        <v>259</v>
      </c>
      <c r="E544" s="429">
        <v>500</v>
      </c>
      <c r="F544" s="454">
        <f t="shared" si="8"/>
        <v>0.93386376795353099</v>
      </c>
      <c r="G544" s="239">
        <v>535.41</v>
      </c>
      <c r="H544" s="429" t="s">
        <v>123</v>
      </c>
      <c r="I544" s="429" t="s">
        <v>550</v>
      </c>
      <c r="J544" s="170" t="s">
        <v>96</v>
      </c>
      <c r="K544" s="170" t="s">
        <v>345</v>
      </c>
      <c r="L544" s="170" t="s">
        <v>113</v>
      </c>
      <c r="M544" s="75"/>
      <c r="N544" s="75"/>
      <c r="O544" s="75"/>
    </row>
    <row r="545" spans="1:15">
      <c r="A545" s="428">
        <v>46105</v>
      </c>
      <c r="B545" s="429" t="s">
        <v>1053</v>
      </c>
      <c r="C545" s="170" t="s">
        <v>337</v>
      </c>
      <c r="D545" s="429" t="s">
        <v>259</v>
      </c>
      <c r="E545" s="429">
        <v>500</v>
      </c>
      <c r="F545" s="454">
        <f t="shared" si="8"/>
        <v>0.93386376795353099</v>
      </c>
      <c r="G545" s="239">
        <v>535.41</v>
      </c>
      <c r="H545" s="429" t="s">
        <v>123</v>
      </c>
      <c r="I545" s="429" t="s">
        <v>550</v>
      </c>
      <c r="J545" s="170" t="s">
        <v>96</v>
      </c>
      <c r="K545" s="170" t="s">
        <v>345</v>
      </c>
      <c r="L545" s="170" t="s">
        <v>113</v>
      </c>
      <c r="M545" s="75"/>
      <c r="N545" s="75"/>
      <c r="O545" s="75"/>
    </row>
    <row r="546" spans="1:15">
      <c r="A546" s="428">
        <v>46105</v>
      </c>
      <c r="B546" s="429" t="s">
        <v>1053</v>
      </c>
      <c r="C546" s="170" t="s">
        <v>337</v>
      </c>
      <c r="D546" s="429" t="s">
        <v>259</v>
      </c>
      <c r="E546" s="429">
        <v>500</v>
      </c>
      <c r="F546" s="454">
        <f t="shared" si="8"/>
        <v>0.93386376795353099</v>
      </c>
      <c r="G546" s="239">
        <v>535.41</v>
      </c>
      <c r="H546" s="429" t="s">
        <v>123</v>
      </c>
      <c r="I546" s="429" t="s">
        <v>550</v>
      </c>
      <c r="J546" s="170" t="s">
        <v>96</v>
      </c>
      <c r="K546" s="170" t="s">
        <v>345</v>
      </c>
      <c r="L546" s="170" t="s">
        <v>113</v>
      </c>
      <c r="M546" s="75"/>
      <c r="N546" s="75"/>
      <c r="O546" s="75"/>
    </row>
    <row r="547" spans="1:15">
      <c r="A547" s="428">
        <v>46105</v>
      </c>
      <c r="B547" s="429" t="s">
        <v>540</v>
      </c>
      <c r="C547" s="429" t="s">
        <v>541</v>
      </c>
      <c r="D547" s="429" t="s">
        <v>259</v>
      </c>
      <c r="E547" s="429">
        <v>2000</v>
      </c>
      <c r="F547" s="454">
        <f t="shared" si="8"/>
        <v>3.735455071814124</v>
      </c>
      <c r="G547" s="239">
        <v>535.41</v>
      </c>
      <c r="H547" s="429" t="s">
        <v>123</v>
      </c>
      <c r="I547" s="429" t="s">
        <v>551</v>
      </c>
      <c r="J547" s="170" t="s">
        <v>96</v>
      </c>
      <c r="K547" s="170" t="s">
        <v>345</v>
      </c>
      <c r="L547" s="170" t="s">
        <v>113</v>
      </c>
      <c r="M547" s="75"/>
      <c r="N547" s="75"/>
      <c r="O547" s="75"/>
    </row>
    <row r="548" spans="1:15">
      <c r="A548" s="428">
        <v>46105</v>
      </c>
      <c r="B548" s="165" t="s">
        <v>547</v>
      </c>
      <c r="C548" s="165" t="s">
        <v>110</v>
      </c>
      <c r="D548" s="165" t="s">
        <v>544</v>
      </c>
      <c r="E548" s="429">
        <v>7500</v>
      </c>
      <c r="F548" s="454">
        <f t="shared" si="8"/>
        <v>14.007956519302965</v>
      </c>
      <c r="G548" s="239">
        <v>535.41</v>
      </c>
      <c r="H548" s="429" t="s">
        <v>123</v>
      </c>
      <c r="I548" s="429" t="s">
        <v>574</v>
      </c>
      <c r="J548" s="170" t="s">
        <v>96</v>
      </c>
      <c r="K548" s="170" t="s">
        <v>345</v>
      </c>
      <c r="L548" s="170" t="s">
        <v>113</v>
      </c>
      <c r="M548" s="75"/>
      <c r="N548" s="75"/>
      <c r="O548" s="75"/>
    </row>
    <row r="549" spans="1:15">
      <c r="A549" s="453">
        <v>46105</v>
      </c>
      <c r="B549" s="170" t="s">
        <v>1027</v>
      </c>
      <c r="C549" s="242" t="s">
        <v>402</v>
      </c>
      <c r="D549" s="170" t="s">
        <v>259</v>
      </c>
      <c r="E549" s="170">
        <v>2000</v>
      </c>
      <c r="F549" s="454">
        <f t="shared" si="8"/>
        <v>3.735455071814124</v>
      </c>
      <c r="G549" s="239">
        <v>535.41</v>
      </c>
      <c r="H549" s="170" t="s">
        <v>122</v>
      </c>
      <c r="I549" s="242" t="s">
        <v>628</v>
      </c>
      <c r="J549" s="170" t="s">
        <v>96</v>
      </c>
      <c r="K549" s="170" t="s">
        <v>345</v>
      </c>
      <c r="L549" s="170" t="s">
        <v>113</v>
      </c>
      <c r="M549" s="75"/>
      <c r="N549" s="75"/>
      <c r="O549" s="75"/>
    </row>
    <row r="550" spans="1:15" s="246" customFormat="1">
      <c r="A550" s="453">
        <v>46105</v>
      </c>
      <c r="B550" s="170" t="s">
        <v>1027</v>
      </c>
      <c r="C550" s="170" t="s">
        <v>402</v>
      </c>
      <c r="D550" s="170" t="s">
        <v>259</v>
      </c>
      <c r="E550" s="170">
        <v>6000</v>
      </c>
      <c r="F550" s="454">
        <f t="shared" si="8"/>
        <v>11.206365215442371</v>
      </c>
      <c r="G550" s="239">
        <v>535.41</v>
      </c>
      <c r="H550" s="170" t="s">
        <v>122</v>
      </c>
      <c r="I550" s="170" t="s">
        <v>629</v>
      </c>
      <c r="J550" s="170" t="s">
        <v>96</v>
      </c>
      <c r="K550" s="170" t="s">
        <v>345</v>
      </c>
      <c r="L550" s="170" t="s">
        <v>113</v>
      </c>
      <c r="M550" s="124"/>
      <c r="N550" s="124"/>
      <c r="O550" s="124"/>
    </row>
    <row r="551" spans="1:15">
      <c r="A551" s="457">
        <v>46105</v>
      </c>
      <c r="B551" s="165" t="s">
        <v>592</v>
      </c>
      <c r="C551" s="165" t="s">
        <v>110</v>
      </c>
      <c r="D551" s="242" t="s">
        <v>259</v>
      </c>
      <c r="E551" s="242">
        <v>7500</v>
      </c>
      <c r="F551" s="454">
        <f t="shared" si="8"/>
        <v>14.007956519302965</v>
      </c>
      <c r="G551" s="239">
        <v>535.41</v>
      </c>
      <c r="H551" s="242" t="s">
        <v>122</v>
      </c>
      <c r="I551" s="242" t="s">
        <v>630</v>
      </c>
      <c r="J551" s="170" t="s">
        <v>96</v>
      </c>
      <c r="K551" s="170" t="s">
        <v>345</v>
      </c>
      <c r="L551" s="170" t="s">
        <v>113</v>
      </c>
      <c r="M551" s="75"/>
      <c r="N551" s="75"/>
      <c r="O551" s="75"/>
    </row>
    <row r="552" spans="1:15">
      <c r="A552" s="457">
        <v>46105</v>
      </c>
      <c r="B552" s="242" t="s">
        <v>1027</v>
      </c>
      <c r="C552" s="170" t="s">
        <v>337</v>
      </c>
      <c r="D552" s="242" t="s">
        <v>259</v>
      </c>
      <c r="E552" s="242">
        <v>500</v>
      </c>
      <c r="F552" s="454">
        <f t="shared" si="8"/>
        <v>0.93386376795353099</v>
      </c>
      <c r="G552" s="239">
        <v>535.41</v>
      </c>
      <c r="H552" s="242" t="s">
        <v>131</v>
      </c>
      <c r="I552" s="242" t="s">
        <v>653</v>
      </c>
      <c r="J552" s="170" t="s">
        <v>96</v>
      </c>
      <c r="K552" s="170" t="s">
        <v>345</v>
      </c>
      <c r="L552" s="170" t="s">
        <v>113</v>
      </c>
      <c r="M552" s="75"/>
      <c r="N552" s="75"/>
      <c r="O552" s="75"/>
    </row>
    <row r="553" spans="1:15">
      <c r="A553" s="457">
        <v>46105</v>
      </c>
      <c r="B553" s="242" t="s">
        <v>1027</v>
      </c>
      <c r="C553" s="170" t="s">
        <v>337</v>
      </c>
      <c r="D553" s="242" t="s">
        <v>259</v>
      </c>
      <c r="E553" s="242">
        <v>3500</v>
      </c>
      <c r="F553" s="454">
        <f t="shared" si="8"/>
        <v>6.5370463756747172</v>
      </c>
      <c r="G553" s="239">
        <v>535.41</v>
      </c>
      <c r="H553" s="242" t="s">
        <v>131</v>
      </c>
      <c r="I553" s="242" t="s">
        <v>653</v>
      </c>
      <c r="J553" s="170" t="s">
        <v>96</v>
      </c>
      <c r="K553" s="170" t="s">
        <v>345</v>
      </c>
      <c r="L553" s="170" t="s">
        <v>113</v>
      </c>
      <c r="M553" s="75"/>
      <c r="N553" s="75"/>
      <c r="O553" s="75"/>
    </row>
    <row r="554" spans="1:15">
      <c r="A554" s="457">
        <v>46105</v>
      </c>
      <c r="B554" s="242" t="s">
        <v>540</v>
      </c>
      <c r="C554" s="242" t="s">
        <v>647</v>
      </c>
      <c r="D554" s="242" t="s">
        <v>259</v>
      </c>
      <c r="E554" s="242">
        <v>3000</v>
      </c>
      <c r="F554" s="454">
        <f t="shared" si="8"/>
        <v>5.6031826077211857</v>
      </c>
      <c r="G554" s="239">
        <v>535.41</v>
      </c>
      <c r="H554" s="242" t="s">
        <v>131</v>
      </c>
      <c r="I554" s="242" t="s">
        <v>658</v>
      </c>
      <c r="J554" s="170" t="s">
        <v>96</v>
      </c>
      <c r="K554" s="170" t="s">
        <v>345</v>
      </c>
      <c r="L554" s="170" t="s">
        <v>113</v>
      </c>
      <c r="M554" s="75"/>
      <c r="N554" s="75"/>
      <c r="O554" s="75"/>
    </row>
    <row r="555" spans="1:15">
      <c r="A555" s="457">
        <v>46105</v>
      </c>
      <c r="B555" s="242" t="s">
        <v>1027</v>
      </c>
      <c r="C555" s="170" t="s">
        <v>337</v>
      </c>
      <c r="D555" s="242" t="s">
        <v>259</v>
      </c>
      <c r="E555" s="242">
        <v>3500</v>
      </c>
      <c r="F555" s="454">
        <f t="shared" si="8"/>
        <v>6.5370463756747172</v>
      </c>
      <c r="G555" s="239">
        <v>535.41</v>
      </c>
      <c r="H555" s="242" t="s">
        <v>131</v>
      </c>
      <c r="I555" s="242" t="s">
        <v>653</v>
      </c>
      <c r="J555" s="170" t="s">
        <v>96</v>
      </c>
      <c r="K555" s="170" t="s">
        <v>345</v>
      </c>
      <c r="L555" s="170" t="s">
        <v>113</v>
      </c>
      <c r="M555" s="75"/>
      <c r="N555" s="75"/>
      <c r="O555" s="75"/>
    </row>
    <row r="556" spans="1:15">
      <c r="A556" s="457">
        <v>46105</v>
      </c>
      <c r="B556" s="242" t="s">
        <v>1027</v>
      </c>
      <c r="C556" s="170" t="s">
        <v>337</v>
      </c>
      <c r="D556" s="242" t="s">
        <v>259</v>
      </c>
      <c r="E556" s="242">
        <v>500</v>
      </c>
      <c r="F556" s="454">
        <f t="shared" si="8"/>
        <v>0.93386376795353099</v>
      </c>
      <c r="G556" s="239">
        <v>535.41</v>
      </c>
      <c r="H556" s="242" t="s">
        <v>131</v>
      </c>
      <c r="I556" s="242" t="s">
        <v>653</v>
      </c>
      <c r="J556" s="170" t="s">
        <v>96</v>
      </c>
      <c r="K556" s="170" t="s">
        <v>345</v>
      </c>
      <c r="L556" s="170" t="s">
        <v>113</v>
      </c>
      <c r="M556" s="75"/>
      <c r="N556" s="75"/>
      <c r="O556" s="75"/>
    </row>
    <row r="557" spans="1:15">
      <c r="A557" s="453">
        <v>46105</v>
      </c>
      <c r="B557" s="170" t="s">
        <v>650</v>
      </c>
      <c r="C557" s="170" t="s">
        <v>110</v>
      </c>
      <c r="D557" s="170" t="s">
        <v>259</v>
      </c>
      <c r="E557" s="170">
        <v>7500</v>
      </c>
      <c r="F557" s="454">
        <f t="shared" si="8"/>
        <v>14.007956519302965</v>
      </c>
      <c r="G557" s="239">
        <v>535.41</v>
      </c>
      <c r="H557" s="170" t="s">
        <v>131</v>
      </c>
      <c r="I557" s="170" t="s">
        <v>683</v>
      </c>
      <c r="J557" s="170" t="s">
        <v>96</v>
      </c>
      <c r="K557" s="170" t="s">
        <v>345</v>
      </c>
      <c r="L557" s="170" t="s">
        <v>113</v>
      </c>
      <c r="M557" s="75"/>
      <c r="N557" s="75"/>
      <c r="O557" s="75"/>
    </row>
    <row r="558" spans="1:15">
      <c r="A558" s="468">
        <v>46105</v>
      </c>
      <c r="B558" s="170" t="s">
        <v>701</v>
      </c>
      <c r="C558" s="456" t="s">
        <v>110</v>
      </c>
      <c r="D558" s="456" t="s">
        <v>97</v>
      </c>
      <c r="E558" s="367">
        <v>7500</v>
      </c>
      <c r="F558" s="454">
        <f t="shared" si="8"/>
        <v>14.007956519302965</v>
      </c>
      <c r="G558" s="239">
        <v>535.41</v>
      </c>
      <c r="H558" s="456" t="s">
        <v>134</v>
      </c>
      <c r="I558" s="170" t="s">
        <v>733</v>
      </c>
      <c r="J558" s="170" t="s">
        <v>96</v>
      </c>
      <c r="K558" s="170" t="s">
        <v>345</v>
      </c>
      <c r="L558" s="170" t="s">
        <v>113</v>
      </c>
      <c r="M558" s="75"/>
      <c r="N558" s="75"/>
      <c r="O558" s="75"/>
    </row>
    <row r="559" spans="1:15">
      <c r="A559" s="457">
        <v>46105</v>
      </c>
      <c r="B559" s="462" t="s">
        <v>779</v>
      </c>
      <c r="C559" s="462" t="s">
        <v>110</v>
      </c>
      <c r="D559" s="469" t="s">
        <v>100</v>
      </c>
      <c r="E559" s="299">
        <v>7500</v>
      </c>
      <c r="F559" s="454">
        <f t="shared" si="8"/>
        <v>14.007956519302965</v>
      </c>
      <c r="G559" s="239">
        <v>535.41</v>
      </c>
      <c r="H559" s="242" t="s">
        <v>129</v>
      </c>
      <c r="I559" s="242" t="s">
        <v>794</v>
      </c>
      <c r="J559" s="170" t="s">
        <v>96</v>
      </c>
      <c r="K559" s="170" t="s">
        <v>345</v>
      </c>
      <c r="L559" s="170" t="s">
        <v>113</v>
      </c>
      <c r="M559" s="75"/>
      <c r="N559" s="75"/>
      <c r="O559" s="75"/>
    </row>
    <row r="560" spans="1:15">
      <c r="A560" s="457">
        <v>46105</v>
      </c>
      <c r="B560" s="242" t="s">
        <v>801</v>
      </c>
      <c r="C560" s="242" t="s">
        <v>120</v>
      </c>
      <c r="D560" s="242" t="s">
        <v>98</v>
      </c>
      <c r="E560" s="460">
        <v>62500</v>
      </c>
      <c r="F560" s="454">
        <f t="shared" si="8"/>
        <v>116.73297099419138</v>
      </c>
      <c r="G560" s="239">
        <v>535.41</v>
      </c>
      <c r="H560" s="242" t="s">
        <v>124</v>
      </c>
      <c r="I560" s="170" t="s">
        <v>845</v>
      </c>
      <c r="J560" s="170" t="s">
        <v>96</v>
      </c>
      <c r="K560" s="170" t="s">
        <v>345</v>
      </c>
      <c r="L560" s="170" t="s">
        <v>113</v>
      </c>
      <c r="M560" s="75"/>
      <c r="N560" s="75"/>
      <c r="O560" s="75"/>
    </row>
    <row r="561" spans="1:15">
      <c r="A561" s="457">
        <v>46105</v>
      </c>
      <c r="B561" s="242" t="s">
        <v>808</v>
      </c>
      <c r="C561" s="242" t="s">
        <v>110</v>
      </c>
      <c r="D561" s="242" t="s">
        <v>97</v>
      </c>
      <c r="E561" s="242">
        <v>5000</v>
      </c>
      <c r="F561" s="454">
        <f t="shared" si="8"/>
        <v>9.3386376795353101</v>
      </c>
      <c r="G561" s="239">
        <v>535.41</v>
      </c>
      <c r="H561" s="242" t="s">
        <v>124</v>
      </c>
      <c r="I561" s="242" t="s">
        <v>846</v>
      </c>
      <c r="J561" s="170" t="s">
        <v>96</v>
      </c>
      <c r="K561" s="170" t="s">
        <v>345</v>
      </c>
      <c r="L561" s="170" t="s">
        <v>113</v>
      </c>
      <c r="M561" s="75"/>
      <c r="N561" s="75"/>
      <c r="O561" s="75"/>
    </row>
    <row r="562" spans="1:15">
      <c r="A562" s="457">
        <v>46106</v>
      </c>
      <c r="B562" s="242" t="s">
        <v>188</v>
      </c>
      <c r="C562" s="170" t="s">
        <v>337</v>
      </c>
      <c r="D562" s="458" t="s">
        <v>99</v>
      </c>
      <c r="E562" s="242">
        <v>1000</v>
      </c>
      <c r="F562" s="454">
        <f t="shared" si="8"/>
        <v>1.9254803020356539</v>
      </c>
      <c r="G562" s="239">
        <v>519.35093749999999</v>
      </c>
      <c r="H562" s="459" t="s">
        <v>111</v>
      </c>
      <c r="I562" s="170" t="s">
        <v>380</v>
      </c>
      <c r="J562" s="170" t="s">
        <v>96</v>
      </c>
      <c r="K562" s="170" t="s">
        <v>345</v>
      </c>
      <c r="L562" s="170" t="s">
        <v>113</v>
      </c>
      <c r="M562" s="364"/>
      <c r="N562" s="364"/>
      <c r="O562" s="75"/>
    </row>
    <row r="563" spans="1:15">
      <c r="A563" s="457">
        <v>46106</v>
      </c>
      <c r="B563" s="242" t="s">
        <v>375</v>
      </c>
      <c r="C563" s="170" t="s">
        <v>337</v>
      </c>
      <c r="D563" s="458" t="s">
        <v>99</v>
      </c>
      <c r="E563" s="242">
        <v>1000</v>
      </c>
      <c r="F563" s="454">
        <f t="shared" si="8"/>
        <v>1.9254803020356539</v>
      </c>
      <c r="G563" s="239">
        <v>519.35093749999999</v>
      </c>
      <c r="H563" s="459" t="s">
        <v>111</v>
      </c>
      <c r="I563" s="170" t="s">
        <v>380</v>
      </c>
      <c r="J563" s="170" t="s">
        <v>96</v>
      </c>
      <c r="K563" s="170" t="s">
        <v>345</v>
      </c>
      <c r="L563" s="170" t="s">
        <v>113</v>
      </c>
      <c r="M563" s="364"/>
      <c r="N563" s="364"/>
      <c r="O563" s="75"/>
    </row>
    <row r="564" spans="1:15">
      <c r="A564" s="457">
        <v>46106</v>
      </c>
      <c r="B564" s="242" t="s">
        <v>376</v>
      </c>
      <c r="C564" s="170" t="s">
        <v>337</v>
      </c>
      <c r="D564" s="458" t="s">
        <v>99</v>
      </c>
      <c r="E564" s="242">
        <v>1000</v>
      </c>
      <c r="F564" s="454">
        <f t="shared" si="8"/>
        <v>1.9254803020356539</v>
      </c>
      <c r="G564" s="239">
        <v>519.35093749999999</v>
      </c>
      <c r="H564" s="459" t="s">
        <v>111</v>
      </c>
      <c r="I564" s="170" t="s">
        <v>380</v>
      </c>
      <c r="J564" s="170" t="s">
        <v>96</v>
      </c>
      <c r="K564" s="170" t="s">
        <v>345</v>
      </c>
      <c r="L564" s="170" t="s">
        <v>113</v>
      </c>
      <c r="M564" s="361"/>
      <c r="N564" s="361"/>
      <c r="O564" s="271"/>
    </row>
    <row r="565" spans="1:15">
      <c r="A565" s="457">
        <v>46106</v>
      </c>
      <c r="B565" s="242" t="s">
        <v>193</v>
      </c>
      <c r="C565" s="170" t="s">
        <v>337</v>
      </c>
      <c r="D565" s="458" t="s">
        <v>99</v>
      </c>
      <c r="E565" s="242">
        <v>1000</v>
      </c>
      <c r="F565" s="454">
        <f t="shared" si="8"/>
        <v>1.9254803020356539</v>
      </c>
      <c r="G565" s="239">
        <v>519.35093749999999</v>
      </c>
      <c r="H565" s="459" t="s">
        <v>111</v>
      </c>
      <c r="I565" s="170" t="s">
        <v>380</v>
      </c>
      <c r="J565" s="170" t="s">
        <v>96</v>
      </c>
      <c r="K565" s="170" t="s">
        <v>345</v>
      </c>
      <c r="L565" s="170" t="s">
        <v>113</v>
      </c>
      <c r="M565" s="362"/>
      <c r="N565" s="361"/>
      <c r="O565" s="271"/>
    </row>
    <row r="566" spans="1:15">
      <c r="A566" s="457">
        <v>46106</v>
      </c>
      <c r="B566" s="242" t="s">
        <v>315</v>
      </c>
      <c r="C566" s="170" t="s">
        <v>337</v>
      </c>
      <c r="D566" s="458" t="s">
        <v>99</v>
      </c>
      <c r="E566" s="242">
        <v>1000</v>
      </c>
      <c r="F566" s="454">
        <f t="shared" si="8"/>
        <v>1.9254803020356539</v>
      </c>
      <c r="G566" s="239">
        <v>519.35093749999999</v>
      </c>
      <c r="H566" s="459" t="s">
        <v>111</v>
      </c>
      <c r="I566" s="170" t="s">
        <v>380</v>
      </c>
      <c r="J566" s="170" t="s">
        <v>96</v>
      </c>
      <c r="K566" s="170" t="s">
        <v>345</v>
      </c>
      <c r="L566" s="170" t="s">
        <v>113</v>
      </c>
      <c r="M566" s="361"/>
      <c r="N566" s="361"/>
      <c r="O566" s="271"/>
    </row>
    <row r="567" spans="1:15">
      <c r="A567" s="457">
        <v>46106</v>
      </c>
      <c r="B567" s="242" t="s">
        <v>187</v>
      </c>
      <c r="C567" s="170" t="s">
        <v>337</v>
      </c>
      <c r="D567" s="458" t="s">
        <v>99</v>
      </c>
      <c r="E567" s="242">
        <v>1000</v>
      </c>
      <c r="F567" s="454">
        <f t="shared" si="8"/>
        <v>1.9254803020356539</v>
      </c>
      <c r="G567" s="239">
        <v>519.35093749999999</v>
      </c>
      <c r="H567" s="459" t="s">
        <v>111</v>
      </c>
      <c r="I567" s="170" t="s">
        <v>380</v>
      </c>
      <c r="J567" s="170" t="s">
        <v>96</v>
      </c>
      <c r="K567" s="170" t="s">
        <v>345</v>
      </c>
      <c r="L567" s="170" t="s">
        <v>113</v>
      </c>
      <c r="M567" s="361"/>
      <c r="N567" s="361"/>
      <c r="O567" s="271"/>
    </row>
    <row r="568" spans="1:15">
      <c r="A568" s="457">
        <v>46106</v>
      </c>
      <c r="B568" s="242" t="s">
        <v>475</v>
      </c>
      <c r="C568" s="242" t="s">
        <v>463</v>
      </c>
      <c r="D568" s="242" t="s">
        <v>98</v>
      </c>
      <c r="E568" s="460">
        <v>1610</v>
      </c>
      <c r="F568" s="454">
        <f t="shared" si="8"/>
        <v>3.00704133281037</v>
      </c>
      <c r="G568" s="239">
        <v>535.41</v>
      </c>
      <c r="H568" s="242" t="s">
        <v>168</v>
      </c>
      <c r="I568" s="170" t="s">
        <v>526</v>
      </c>
      <c r="J568" s="170" t="s">
        <v>96</v>
      </c>
      <c r="K568" s="170" t="s">
        <v>345</v>
      </c>
      <c r="L568" s="170" t="s">
        <v>113</v>
      </c>
      <c r="M568" s="75"/>
      <c r="N568" s="75"/>
      <c r="O568" s="75"/>
    </row>
    <row r="569" spans="1:15">
      <c r="A569" s="457">
        <v>46106</v>
      </c>
      <c r="B569" s="242" t="s">
        <v>480</v>
      </c>
      <c r="C569" s="170" t="s">
        <v>120</v>
      </c>
      <c r="D569" s="242" t="s">
        <v>98</v>
      </c>
      <c r="E569" s="460">
        <v>10000</v>
      </c>
      <c r="F569" s="454">
        <f t="shared" si="8"/>
        <v>18.67727535907062</v>
      </c>
      <c r="G569" s="239">
        <v>535.41</v>
      </c>
      <c r="H569" s="242" t="s">
        <v>168</v>
      </c>
      <c r="I569" s="170" t="s">
        <v>527</v>
      </c>
      <c r="J569" s="170" t="s">
        <v>96</v>
      </c>
      <c r="K569" s="170" t="s">
        <v>345</v>
      </c>
      <c r="L569" s="170" t="s">
        <v>113</v>
      </c>
      <c r="M569" s="75"/>
      <c r="N569" s="75"/>
      <c r="O569" s="75"/>
    </row>
    <row r="570" spans="1:15">
      <c r="A570" s="467">
        <v>46106</v>
      </c>
      <c r="B570" s="242" t="s">
        <v>476</v>
      </c>
      <c r="C570" s="170" t="s">
        <v>337</v>
      </c>
      <c r="D570" s="242" t="s">
        <v>98</v>
      </c>
      <c r="E570" s="298">
        <v>1000</v>
      </c>
      <c r="F570" s="454">
        <f t="shared" si="8"/>
        <v>1.867727535907062</v>
      </c>
      <c r="G570" s="239">
        <v>535.41</v>
      </c>
      <c r="H570" s="242" t="s">
        <v>168</v>
      </c>
      <c r="I570" s="242" t="s">
        <v>510</v>
      </c>
      <c r="J570" s="170" t="s">
        <v>96</v>
      </c>
      <c r="K570" s="170" t="s">
        <v>345</v>
      </c>
      <c r="L570" s="170" t="s">
        <v>113</v>
      </c>
      <c r="M570" s="75"/>
      <c r="N570" s="75"/>
      <c r="O570" s="75"/>
    </row>
    <row r="571" spans="1:15">
      <c r="A571" s="467">
        <v>46106</v>
      </c>
      <c r="B571" s="242" t="s">
        <v>470</v>
      </c>
      <c r="C571" s="170" t="s">
        <v>337</v>
      </c>
      <c r="D571" s="242" t="s">
        <v>98</v>
      </c>
      <c r="E571" s="298">
        <v>1000</v>
      </c>
      <c r="F571" s="454">
        <f t="shared" si="8"/>
        <v>1.867727535907062</v>
      </c>
      <c r="G571" s="239">
        <v>535.41</v>
      </c>
      <c r="H571" s="242" t="s">
        <v>168</v>
      </c>
      <c r="I571" s="242" t="s">
        <v>510</v>
      </c>
      <c r="J571" s="170" t="s">
        <v>96</v>
      </c>
      <c r="K571" s="170" t="s">
        <v>345</v>
      </c>
      <c r="L571" s="170" t="s">
        <v>113</v>
      </c>
      <c r="M571" s="75"/>
      <c r="N571" s="75"/>
      <c r="O571" s="75"/>
    </row>
    <row r="572" spans="1:15">
      <c r="A572" s="467">
        <v>46106</v>
      </c>
      <c r="B572" s="242" t="s">
        <v>481</v>
      </c>
      <c r="C572" s="170" t="s">
        <v>337</v>
      </c>
      <c r="D572" s="242" t="s">
        <v>98</v>
      </c>
      <c r="E572" s="298">
        <v>1000</v>
      </c>
      <c r="F572" s="454">
        <f t="shared" si="8"/>
        <v>1.867727535907062</v>
      </c>
      <c r="G572" s="239">
        <v>535.41</v>
      </c>
      <c r="H572" s="242" t="s">
        <v>168</v>
      </c>
      <c r="I572" s="242" t="s">
        <v>510</v>
      </c>
      <c r="J572" s="170" t="s">
        <v>96</v>
      </c>
      <c r="K572" s="170" t="s">
        <v>345</v>
      </c>
      <c r="L572" s="170" t="s">
        <v>113</v>
      </c>
      <c r="M572" s="75"/>
      <c r="N572" s="75"/>
      <c r="O572" s="75"/>
    </row>
    <row r="573" spans="1:15">
      <c r="A573" s="467">
        <v>46106</v>
      </c>
      <c r="B573" s="242" t="s">
        <v>482</v>
      </c>
      <c r="C573" s="170" t="s">
        <v>337</v>
      </c>
      <c r="D573" s="242" t="s">
        <v>98</v>
      </c>
      <c r="E573" s="298">
        <v>1000</v>
      </c>
      <c r="F573" s="454">
        <f t="shared" si="8"/>
        <v>1.867727535907062</v>
      </c>
      <c r="G573" s="239">
        <v>535.41</v>
      </c>
      <c r="H573" s="242" t="s">
        <v>168</v>
      </c>
      <c r="I573" s="242" t="s">
        <v>510</v>
      </c>
      <c r="J573" s="170" t="s">
        <v>96</v>
      </c>
      <c r="K573" s="170" t="s">
        <v>345</v>
      </c>
      <c r="L573" s="170" t="s">
        <v>113</v>
      </c>
      <c r="M573" s="75"/>
      <c r="N573" s="75"/>
      <c r="O573" s="75"/>
    </row>
    <row r="574" spans="1:15">
      <c r="A574" s="457">
        <v>46106</v>
      </c>
      <c r="B574" s="242" t="s">
        <v>540</v>
      </c>
      <c r="C574" s="242" t="s">
        <v>541</v>
      </c>
      <c r="D574" s="242" t="s">
        <v>259</v>
      </c>
      <c r="E574" s="242">
        <v>3500</v>
      </c>
      <c r="F574" s="454">
        <f t="shared" si="8"/>
        <v>6.5370463756747172</v>
      </c>
      <c r="G574" s="239">
        <v>535.41</v>
      </c>
      <c r="H574" s="242" t="s">
        <v>122</v>
      </c>
      <c r="I574" s="242" t="s">
        <v>596</v>
      </c>
      <c r="J574" s="170" t="s">
        <v>96</v>
      </c>
      <c r="K574" s="170" t="s">
        <v>345</v>
      </c>
      <c r="L574" s="170" t="s">
        <v>113</v>
      </c>
      <c r="M574" s="75"/>
      <c r="N574" s="75"/>
      <c r="O574" s="75"/>
    </row>
    <row r="575" spans="1:15" s="246" customFormat="1">
      <c r="A575" s="453">
        <v>46106</v>
      </c>
      <c r="B575" s="170" t="s">
        <v>1031</v>
      </c>
      <c r="C575" s="170" t="s">
        <v>402</v>
      </c>
      <c r="D575" s="170" t="s">
        <v>259</v>
      </c>
      <c r="E575" s="170">
        <v>4000</v>
      </c>
      <c r="F575" s="454">
        <f t="shared" si="8"/>
        <v>7.4709101436282479</v>
      </c>
      <c r="G575" s="239">
        <v>535.41</v>
      </c>
      <c r="H575" s="170" t="s">
        <v>122</v>
      </c>
      <c r="I575" s="170" t="s">
        <v>631</v>
      </c>
      <c r="J575" s="170" t="s">
        <v>96</v>
      </c>
      <c r="K575" s="170" t="s">
        <v>345</v>
      </c>
      <c r="L575" s="170" t="s">
        <v>113</v>
      </c>
      <c r="M575" s="124"/>
      <c r="N575" s="124"/>
      <c r="O575" s="124"/>
    </row>
    <row r="576" spans="1:15">
      <c r="A576" s="453">
        <v>46106</v>
      </c>
      <c r="B576" s="242" t="s">
        <v>1031</v>
      </c>
      <c r="C576" s="242" t="s">
        <v>402</v>
      </c>
      <c r="D576" s="242" t="s">
        <v>259</v>
      </c>
      <c r="E576" s="242">
        <v>4000</v>
      </c>
      <c r="F576" s="454">
        <f t="shared" si="8"/>
        <v>7.4709101436282479</v>
      </c>
      <c r="G576" s="239">
        <v>535.41</v>
      </c>
      <c r="H576" s="242" t="s">
        <v>122</v>
      </c>
      <c r="I576" s="242" t="s">
        <v>632</v>
      </c>
      <c r="J576" s="170" t="s">
        <v>96</v>
      </c>
      <c r="K576" s="170" t="s">
        <v>345</v>
      </c>
      <c r="L576" s="170" t="s">
        <v>113</v>
      </c>
      <c r="M576" s="75"/>
      <c r="N576" s="75"/>
      <c r="O576" s="75"/>
    </row>
    <row r="577" spans="1:15">
      <c r="A577" s="457">
        <v>46106</v>
      </c>
      <c r="B577" s="242" t="s">
        <v>1027</v>
      </c>
      <c r="C577" s="170" t="s">
        <v>337</v>
      </c>
      <c r="D577" s="242" t="s">
        <v>259</v>
      </c>
      <c r="E577" s="242">
        <v>500</v>
      </c>
      <c r="F577" s="454">
        <f t="shared" si="8"/>
        <v>0.93386376795353099</v>
      </c>
      <c r="G577" s="239">
        <v>535.41</v>
      </c>
      <c r="H577" s="242" t="s">
        <v>131</v>
      </c>
      <c r="I577" s="242" t="s">
        <v>653</v>
      </c>
      <c r="J577" s="170" t="s">
        <v>96</v>
      </c>
      <c r="K577" s="170" t="s">
        <v>345</v>
      </c>
      <c r="L577" s="170" t="s">
        <v>113</v>
      </c>
      <c r="M577" s="75"/>
      <c r="N577" s="75"/>
      <c r="O577" s="75"/>
    </row>
    <row r="578" spans="1:15">
      <c r="A578" s="457">
        <v>46106</v>
      </c>
      <c r="B578" s="242" t="s">
        <v>1027</v>
      </c>
      <c r="C578" s="170" t="s">
        <v>337</v>
      </c>
      <c r="D578" s="242" t="s">
        <v>259</v>
      </c>
      <c r="E578" s="242">
        <v>500</v>
      </c>
      <c r="F578" s="454">
        <f t="shared" ref="F578:F641" si="9">E578/G578</f>
        <v>0.93386376795353099</v>
      </c>
      <c r="G578" s="239">
        <v>535.41</v>
      </c>
      <c r="H578" s="242" t="s">
        <v>131</v>
      </c>
      <c r="I578" s="242" t="s">
        <v>653</v>
      </c>
      <c r="J578" s="170" t="s">
        <v>96</v>
      </c>
      <c r="K578" s="170" t="s">
        <v>345</v>
      </c>
      <c r="L578" s="170" t="s">
        <v>113</v>
      </c>
      <c r="M578" s="75"/>
      <c r="N578" s="75"/>
      <c r="O578" s="75"/>
    </row>
    <row r="579" spans="1:15">
      <c r="A579" s="468">
        <v>46106</v>
      </c>
      <c r="B579" s="170" t="s">
        <v>702</v>
      </c>
      <c r="C579" s="170" t="s">
        <v>337</v>
      </c>
      <c r="D579" s="456" t="s">
        <v>97</v>
      </c>
      <c r="E579" s="367">
        <v>1000</v>
      </c>
      <c r="F579" s="454">
        <f t="shared" si="9"/>
        <v>1.867727535907062</v>
      </c>
      <c r="G579" s="239">
        <v>535.41</v>
      </c>
      <c r="H579" s="456" t="s">
        <v>134</v>
      </c>
      <c r="I579" s="170" t="s">
        <v>730</v>
      </c>
      <c r="J579" s="170" t="s">
        <v>96</v>
      </c>
      <c r="K579" s="170" t="s">
        <v>345</v>
      </c>
      <c r="L579" s="170" t="s">
        <v>113</v>
      </c>
      <c r="M579" s="75"/>
      <c r="N579" s="75"/>
      <c r="O579" s="75"/>
    </row>
    <row r="580" spans="1:15">
      <c r="A580" s="468">
        <v>46106</v>
      </c>
      <c r="B580" s="170" t="s">
        <v>703</v>
      </c>
      <c r="C580" s="170" t="s">
        <v>337</v>
      </c>
      <c r="D580" s="456" t="s">
        <v>97</v>
      </c>
      <c r="E580" s="367">
        <v>1000</v>
      </c>
      <c r="F580" s="454">
        <f t="shared" si="9"/>
        <v>1.867727535907062</v>
      </c>
      <c r="G580" s="239">
        <v>535.41</v>
      </c>
      <c r="H580" s="456" t="s">
        <v>134</v>
      </c>
      <c r="I580" s="170" t="s">
        <v>730</v>
      </c>
      <c r="J580" s="170" t="s">
        <v>96</v>
      </c>
      <c r="K580" s="170" t="s">
        <v>345</v>
      </c>
      <c r="L580" s="170" t="s">
        <v>113</v>
      </c>
      <c r="M580" s="75"/>
      <c r="N580" s="75"/>
      <c r="O580" s="75"/>
    </row>
    <row r="581" spans="1:15">
      <c r="A581" s="468">
        <v>46107</v>
      </c>
      <c r="B581" s="170" t="s">
        <v>705</v>
      </c>
      <c r="C581" s="242" t="s">
        <v>402</v>
      </c>
      <c r="D581" s="456" t="s">
        <v>97</v>
      </c>
      <c r="E581" s="367">
        <v>9000</v>
      </c>
      <c r="F581" s="454">
        <f t="shared" si="9"/>
        <v>16.809547823163559</v>
      </c>
      <c r="G581" s="239">
        <v>535.41</v>
      </c>
      <c r="H581" s="456" t="s">
        <v>134</v>
      </c>
      <c r="I581" s="170" t="s">
        <v>735</v>
      </c>
      <c r="J581" s="170" t="s">
        <v>96</v>
      </c>
      <c r="K581" s="170" t="s">
        <v>345</v>
      </c>
      <c r="L581" s="170" t="s">
        <v>113</v>
      </c>
      <c r="M581" s="75"/>
      <c r="N581" s="75"/>
      <c r="O581" s="75"/>
    </row>
    <row r="582" spans="1:15">
      <c r="A582" s="457">
        <v>46106</v>
      </c>
      <c r="B582" s="242" t="s">
        <v>810</v>
      </c>
      <c r="C582" s="170" t="s">
        <v>337</v>
      </c>
      <c r="D582" s="242" t="s">
        <v>97</v>
      </c>
      <c r="E582" s="242">
        <v>1000</v>
      </c>
      <c r="F582" s="454">
        <f t="shared" si="9"/>
        <v>1.867727535907062</v>
      </c>
      <c r="G582" s="239">
        <v>535.41</v>
      </c>
      <c r="H582" s="242" t="s">
        <v>124</v>
      </c>
      <c r="I582" s="242" t="s">
        <v>836</v>
      </c>
      <c r="J582" s="170" t="s">
        <v>96</v>
      </c>
      <c r="K582" s="170" t="s">
        <v>345</v>
      </c>
      <c r="L582" s="170" t="s">
        <v>113</v>
      </c>
      <c r="M582" s="75"/>
      <c r="N582" s="75"/>
      <c r="O582" s="75"/>
    </row>
    <row r="583" spans="1:15">
      <c r="A583" s="457">
        <v>46106</v>
      </c>
      <c r="B583" s="242" t="s">
        <v>811</v>
      </c>
      <c r="C583" s="242" t="s">
        <v>402</v>
      </c>
      <c r="D583" s="242" t="s">
        <v>97</v>
      </c>
      <c r="E583" s="242">
        <v>7000</v>
      </c>
      <c r="F583" s="454">
        <f t="shared" si="9"/>
        <v>13.074092751349434</v>
      </c>
      <c r="G583" s="239">
        <v>535.41</v>
      </c>
      <c r="H583" s="242" t="s">
        <v>124</v>
      </c>
      <c r="I583" s="242" t="s">
        <v>848</v>
      </c>
      <c r="J583" s="170" t="s">
        <v>96</v>
      </c>
      <c r="K583" s="170" t="s">
        <v>345</v>
      </c>
      <c r="L583" s="170" t="s">
        <v>113</v>
      </c>
      <c r="M583" s="75"/>
      <c r="N583" s="75"/>
      <c r="O583" s="75"/>
    </row>
    <row r="584" spans="1:15">
      <c r="A584" s="457">
        <v>46106</v>
      </c>
      <c r="B584" s="242" t="s">
        <v>813</v>
      </c>
      <c r="C584" s="170" t="s">
        <v>337</v>
      </c>
      <c r="D584" s="242" t="s">
        <v>97</v>
      </c>
      <c r="E584" s="242">
        <v>1000</v>
      </c>
      <c r="F584" s="454">
        <f t="shared" si="9"/>
        <v>1.867727535907062</v>
      </c>
      <c r="G584" s="239">
        <v>535.41</v>
      </c>
      <c r="H584" s="242" t="s">
        <v>124</v>
      </c>
      <c r="I584" s="242" t="s">
        <v>836</v>
      </c>
      <c r="J584" s="170" t="s">
        <v>96</v>
      </c>
      <c r="K584" s="170" t="s">
        <v>345</v>
      </c>
      <c r="L584" s="170" t="s">
        <v>113</v>
      </c>
      <c r="M584" s="75"/>
      <c r="N584" s="75"/>
      <c r="O584" s="75"/>
    </row>
    <row r="585" spans="1:15">
      <c r="A585" s="457">
        <v>46107</v>
      </c>
      <c r="B585" s="242" t="s">
        <v>186</v>
      </c>
      <c r="C585" s="170" t="s">
        <v>337</v>
      </c>
      <c r="D585" s="458" t="s">
        <v>99</v>
      </c>
      <c r="E585" s="242">
        <v>1000</v>
      </c>
      <c r="F585" s="454">
        <f t="shared" si="9"/>
        <v>1.9254803020356539</v>
      </c>
      <c r="G585" s="239">
        <v>519.35093749999999</v>
      </c>
      <c r="H585" s="459" t="s">
        <v>111</v>
      </c>
      <c r="I585" s="170" t="s">
        <v>380</v>
      </c>
      <c r="J585" s="170" t="s">
        <v>96</v>
      </c>
      <c r="K585" s="170" t="s">
        <v>345</v>
      </c>
      <c r="L585" s="170" t="s">
        <v>113</v>
      </c>
      <c r="M585" s="361"/>
      <c r="N585" s="361"/>
      <c r="O585" s="271"/>
    </row>
    <row r="586" spans="1:15">
      <c r="A586" s="457">
        <v>46107</v>
      </c>
      <c r="B586" s="242" t="s">
        <v>364</v>
      </c>
      <c r="C586" s="170" t="s">
        <v>337</v>
      </c>
      <c r="D586" s="458" t="s">
        <v>99</v>
      </c>
      <c r="E586" s="242">
        <v>1000</v>
      </c>
      <c r="F586" s="454">
        <f t="shared" si="9"/>
        <v>1.9254803020356539</v>
      </c>
      <c r="G586" s="239">
        <v>519.35093749999999</v>
      </c>
      <c r="H586" s="459" t="s">
        <v>111</v>
      </c>
      <c r="I586" s="170" t="s">
        <v>380</v>
      </c>
      <c r="J586" s="170" t="s">
        <v>96</v>
      </c>
      <c r="K586" s="170" t="s">
        <v>345</v>
      </c>
      <c r="L586" s="170" t="s">
        <v>113</v>
      </c>
      <c r="M586" s="361"/>
      <c r="N586" s="361"/>
      <c r="O586" s="271"/>
    </row>
    <row r="587" spans="1:15">
      <c r="A587" s="457">
        <v>46107</v>
      </c>
      <c r="B587" s="242" t="s">
        <v>369</v>
      </c>
      <c r="C587" s="170" t="s">
        <v>337</v>
      </c>
      <c r="D587" s="458" t="s">
        <v>99</v>
      </c>
      <c r="E587" s="242">
        <v>1000</v>
      </c>
      <c r="F587" s="454">
        <f t="shared" si="9"/>
        <v>1.9254803020356539</v>
      </c>
      <c r="G587" s="239">
        <v>519.35093749999999</v>
      </c>
      <c r="H587" s="459" t="s">
        <v>111</v>
      </c>
      <c r="I587" s="170" t="s">
        <v>380</v>
      </c>
      <c r="J587" s="170" t="s">
        <v>96</v>
      </c>
      <c r="K587" s="170" t="s">
        <v>345</v>
      </c>
      <c r="L587" s="170" t="s">
        <v>113</v>
      </c>
      <c r="M587" s="364"/>
      <c r="N587" s="364"/>
      <c r="O587" s="75"/>
    </row>
    <row r="588" spans="1:15">
      <c r="A588" s="457">
        <v>46107</v>
      </c>
      <c r="B588" s="242" t="s">
        <v>187</v>
      </c>
      <c r="C588" s="170" t="s">
        <v>337</v>
      </c>
      <c r="D588" s="458" t="s">
        <v>99</v>
      </c>
      <c r="E588" s="242">
        <v>1000</v>
      </c>
      <c r="F588" s="454">
        <f t="shared" si="9"/>
        <v>1.9254803020356539</v>
      </c>
      <c r="G588" s="239">
        <v>519.35093749999999</v>
      </c>
      <c r="H588" s="459" t="s">
        <v>111</v>
      </c>
      <c r="I588" s="170" t="s">
        <v>380</v>
      </c>
      <c r="J588" s="170" t="s">
        <v>96</v>
      </c>
      <c r="K588" s="170" t="s">
        <v>345</v>
      </c>
      <c r="L588" s="170" t="s">
        <v>113</v>
      </c>
      <c r="M588" s="361"/>
      <c r="N588" s="361"/>
      <c r="O588" s="271"/>
    </row>
    <row r="589" spans="1:15">
      <c r="A589" s="457">
        <v>46107</v>
      </c>
      <c r="B589" s="242" t="s">
        <v>483</v>
      </c>
      <c r="C589" s="242" t="s">
        <v>463</v>
      </c>
      <c r="D589" s="242" t="s">
        <v>98</v>
      </c>
      <c r="E589" s="460">
        <v>6160</v>
      </c>
      <c r="F589" s="454">
        <f t="shared" si="9"/>
        <v>11.505201621187501</v>
      </c>
      <c r="G589" s="239">
        <v>535.41</v>
      </c>
      <c r="H589" s="242" t="s">
        <v>168</v>
      </c>
      <c r="I589" s="170" t="s">
        <v>528</v>
      </c>
      <c r="J589" s="170" t="s">
        <v>96</v>
      </c>
      <c r="K589" s="170" t="s">
        <v>345</v>
      </c>
      <c r="L589" s="170" t="s">
        <v>113</v>
      </c>
      <c r="M589" s="75"/>
      <c r="N589" s="75"/>
      <c r="O589" s="75"/>
    </row>
    <row r="590" spans="1:15">
      <c r="A590" s="457">
        <v>46107</v>
      </c>
      <c r="B590" s="242" t="s">
        <v>484</v>
      </c>
      <c r="C590" s="170" t="s">
        <v>120</v>
      </c>
      <c r="D590" s="242" t="s">
        <v>98</v>
      </c>
      <c r="E590" s="460">
        <v>3750</v>
      </c>
      <c r="F590" s="454">
        <f t="shared" si="9"/>
        <v>7.0039782596514826</v>
      </c>
      <c r="G590" s="239">
        <v>535.41</v>
      </c>
      <c r="H590" s="242" t="s">
        <v>168</v>
      </c>
      <c r="I590" s="170" t="s">
        <v>529</v>
      </c>
      <c r="J590" s="170" t="s">
        <v>96</v>
      </c>
      <c r="K590" s="170" t="s">
        <v>345</v>
      </c>
      <c r="L590" s="170" t="s">
        <v>113</v>
      </c>
      <c r="M590" s="75"/>
      <c r="N590" s="75"/>
      <c r="O590" s="75"/>
    </row>
    <row r="591" spans="1:15">
      <c r="A591" s="467">
        <v>46107</v>
      </c>
      <c r="B591" s="242" t="s">
        <v>485</v>
      </c>
      <c r="C591" s="170" t="s">
        <v>337</v>
      </c>
      <c r="D591" s="242" t="s">
        <v>98</v>
      </c>
      <c r="E591" s="298">
        <v>1000</v>
      </c>
      <c r="F591" s="454">
        <f t="shared" si="9"/>
        <v>1.867727535907062</v>
      </c>
      <c r="G591" s="239">
        <v>535.41</v>
      </c>
      <c r="H591" s="242" t="s">
        <v>168</v>
      </c>
      <c r="I591" s="242" t="s">
        <v>510</v>
      </c>
      <c r="J591" s="170" t="s">
        <v>96</v>
      </c>
      <c r="K591" s="170" t="s">
        <v>345</v>
      </c>
      <c r="L591" s="170" t="s">
        <v>113</v>
      </c>
      <c r="M591" s="75"/>
      <c r="N591" s="75"/>
      <c r="O591" s="75"/>
    </row>
    <row r="592" spans="1:15">
      <c r="A592" s="467">
        <v>46107</v>
      </c>
      <c r="B592" s="242" t="s">
        <v>197</v>
      </c>
      <c r="C592" s="170" t="s">
        <v>337</v>
      </c>
      <c r="D592" s="242" t="s">
        <v>98</v>
      </c>
      <c r="E592" s="298">
        <v>1000</v>
      </c>
      <c r="F592" s="454">
        <f t="shared" si="9"/>
        <v>1.867727535907062</v>
      </c>
      <c r="G592" s="239">
        <v>535.41</v>
      </c>
      <c r="H592" s="242" t="s">
        <v>168</v>
      </c>
      <c r="I592" s="242" t="s">
        <v>510</v>
      </c>
      <c r="J592" s="170" t="s">
        <v>96</v>
      </c>
      <c r="K592" s="170" t="s">
        <v>345</v>
      </c>
      <c r="L592" s="170" t="s">
        <v>113</v>
      </c>
      <c r="M592" s="75"/>
      <c r="N592" s="75"/>
      <c r="O592" s="75"/>
    </row>
    <row r="593" spans="1:15">
      <c r="A593" s="467">
        <v>46107</v>
      </c>
      <c r="B593" s="242" t="s">
        <v>486</v>
      </c>
      <c r="C593" s="170" t="s">
        <v>337</v>
      </c>
      <c r="D593" s="242" t="s">
        <v>98</v>
      </c>
      <c r="E593" s="298">
        <v>1000</v>
      </c>
      <c r="F593" s="454">
        <f t="shared" si="9"/>
        <v>1.867727535907062</v>
      </c>
      <c r="G593" s="239">
        <v>535.41</v>
      </c>
      <c r="H593" s="242" t="s">
        <v>168</v>
      </c>
      <c r="I593" s="242" t="s">
        <v>510</v>
      </c>
      <c r="J593" s="170" t="s">
        <v>96</v>
      </c>
      <c r="K593" s="170" t="s">
        <v>345</v>
      </c>
      <c r="L593" s="170" t="s">
        <v>113</v>
      </c>
      <c r="M593" s="75"/>
      <c r="N593" s="75"/>
      <c r="O593" s="75"/>
    </row>
    <row r="594" spans="1:15">
      <c r="A594" s="467">
        <v>46107</v>
      </c>
      <c r="B594" s="242" t="s">
        <v>470</v>
      </c>
      <c r="C594" s="170" t="s">
        <v>337</v>
      </c>
      <c r="D594" s="242" t="s">
        <v>98</v>
      </c>
      <c r="E594" s="298">
        <v>1000</v>
      </c>
      <c r="F594" s="454">
        <f t="shared" si="9"/>
        <v>1.867727535907062</v>
      </c>
      <c r="G594" s="239">
        <v>535.41</v>
      </c>
      <c r="H594" s="242" t="s">
        <v>168</v>
      </c>
      <c r="I594" s="242" t="s">
        <v>510</v>
      </c>
      <c r="J594" s="170" t="s">
        <v>96</v>
      </c>
      <c r="K594" s="170" t="s">
        <v>345</v>
      </c>
      <c r="L594" s="170" t="s">
        <v>113</v>
      </c>
      <c r="M594" s="75"/>
      <c r="N594" s="75"/>
      <c r="O594" s="75"/>
    </row>
    <row r="595" spans="1:15">
      <c r="A595" s="457">
        <v>46107</v>
      </c>
      <c r="B595" s="242" t="s">
        <v>1027</v>
      </c>
      <c r="C595" s="170" t="s">
        <v>337</v>
      </c>
      <c r="D595" s="242" t="s">
        <v>259</v>
      </c>
      <c r="E595" s="242">
        <v>500</v>
      </c>
      <c r="F595" s="454">
        <f t="shared" si="9"/>
        <v>0.93386376795353099</v>
      </c>
      <c r="G595" s="239">
        <v>535.41</v>
      </c>
      <c r="H595" s="242" t="s">
        <v>131</v>
      </c>
      <c r="I595" s="242" t="s">
        <v>653</v>
      </c>
      <c r="J595" s="170" t="s">
        <v>96</v>
      </c>
      <c r="K595" s="170" t="s">
        <v>345</v>
      </c>
      <c r="L595" s="170" t="s">
        <v>113</v>
      </c>
      <c r="M595" s="75"/>
      <c r="N595" s="75"/>
      <c r="O595" s="75"/>
    </row>
    <row r="596" spans="1:15">
      <c r="A596" s="457">
        <v>46107</v>
      </c>
      <c r="B596" s="242" t="s">
        <v>1027</v>
      </c>
      <c r="C596" s="170" t="s">
        <v>337</v>
      </c>
      <c r="D596" s="242" t="s">
        <v>259</v>
      </c>
      <c r="E596" s="242">
        <v>500</v>
      </c>
      <c r="F596" s="454">
        <f t="shared" si="9"/>
        <v>0.93386376795353099</v>
      </c>
      <c r="G596" s="239">
        <v>535.41</v>
      </c>
      <c r="H596" s="242" t="s">
        <v>131</v>
      </c>
      <c r="I596" s="242" t="s">
        <v>653</v>
      </c>
      <c r="J596" s="170" t="s">
        <v>96</v>
      </c>
      <c r="K596" s="170" t="s">
        <v>345</v>
      </c>
      <c r="L596" s="170" t="s">
        <v>113</v>
      </c>
      <c r="M596" s="75"/>
      <c r="N596" s="75"/>
      <c r="O596" s="75"/>
    </row>
    <row r="597" spans="1:15">
      <c r="A597" s="457">
        <v>46107</v>
      </c>
      <c r="B597" s="242" t="s">
        <v>1027</v>
      </c>
      <c r="C597" s="170" t="s">
        <v>337</v>
      </c>
      <c r="D597" s="242" t="s">
        <v>259</v>
      </c>
      <c r="E597" s="242">
        <v>500</v>
      </c>
      <c r="F597" s="454">
        <f t="shared" si="9"/>
        <v>0.93386376795353099</v>
      </c>
      <c r="G597" s="239">
        <v>535.41</v>
      </c>
      <c r="H597" s="242" t="s">
        <v>131</v>
      </c>
      <c r="I597" s="242" t="s">
        <v>653</v>
      </c>
      <c r="J597" s="170" t="s">
        <v>96</v>
      </c>
      <c r="K597" s="170" t="s">
        <v>345</v>
      </c>
      <c r="L597" s="170" t="s">
        <v>113</v>
      </c>
      <c r="M597" s="75"/>
      <c r="N597" s="75"/>
      <c r="O597" s="75"/>
    </row>
    <row r="598" spans="1:15">
      <c r="A598" s="457">
        <v>46107</v>
      </c>
      <c r="B598" s="242" t="s">
        <v>1027</v>
      </c>
      <c r="C598" s="170" t="s">
        <v>337</v>
      </c>
      <c r="D598" s="242" t="s">
        <v>259</v>
      </c>
      <c r="E598" s="242">
        <v>500</v>
      </c>
      <c r="F598" s="454">
        <f t="shared" si="9"/>
        <v>0.93386376795353099</v>
      </c>
      <c r="G598" s="239">
        <v>535.41</v>
      </c>
      <c r="H598" s="242" t="s">
        <v>131</v>
      </c>
      <c r="I598" s="242" t="s">
        <v>653</v>
      </c>
      <c r="J598" s="170" t="s">
        <v>96</v>
      </c>
      <c r="K598" s="170" t="s">
        <v>345</v>
      </c>
      <c r="L598" s="170" t="s">
        <v>113</v>
      </c>
      <c r="M598" s="75"/>
      <c r="N598" s="75"/>
      <c r="O598" s="75"/>
    </row>
    <row r="599" spans="1:15">
      <c r="A599" s="468">
        <v>46107</v>
      </c>
      <c r="B599" s="170" t="s">
        <v>707</v>
      </c>
      <c r="C599" s="170" t="s">
        <v>337</v>
      </c>
      <c r="D599" s="456" t="s">
        <v>97</v>
      </c>
      <c r="E599" s="367">
        <v>1000</v>
      </c>
      <c r="F599" s="454">
        <f t="shared" si="9"/>
        <v>1.867727535907062</v>
      </c>
      <c r="G599" s="239">
        <v>535.41</v>
      </c>
      <c r="H599" s="456" t="s">
        <v>134</v>
      </c>
      <c r="I599" s="170" t="s">
        <v>730</v>
      </c>
      <c r="J599" s="170" t="s">
        <v>96</v>
      </c>
      <c r="K599" s="170" t="s">
        <v>345</v>
      </c>
      <c r="L599" s="170" t="s">
        <v>113</v>
      </c>
      <c r="M599" s="75"/>
      <c r="N599" s="75"/>
      <c r="O599" s="75"/>
    </row>
    <row r="600" spans="1:15">
      <c r="A600" s="468">
        <v>46107</v>
      </c>
      <c r="B600" s="170" t="s">
        <v>708</v>
      </c>
      <c r="C600" s="170" t="s">
        <v>337</v>
      </c>
      <c r="D600" s="456" t="s">
        <v>97</v>
      </c>
      <c r="E600" s="367">
        <v>500</v>
      </c>
      <c r="F600" s="454">
        <f t="shared" si="9"/>
        <v>0.93386376795353099</v>
      </c>
      <c r="G600" s="239">
        <v>535.41</v>
      </c>
      <c r="H600" s="456" t="s">
        <v>134</v>
      </c>
      <c r="I600" s="170" t="s">
        <v>730</v>
      </c>
      <c r="J600" s="170" t="s">
        <v>96</v>
      </c>
      <c r="K600" s="170" t="s">
        <v>345</v>
      </c>
      <c r="L600" s="170" t="s">
        <v>113</v>
      </c>
      <c r="M600" s="75"/>
      <c r="N600" s="75"/>
      <c r="O600" s="75"/>
    </row>
    <row r="601" spans="1:15">
      <c r="A601" s="468">
        <v>46107</v>
      </c>
      <c r="B601" s="170" t="s">
        <v>709</v>
      </c>
      <c r="C601" s="170" t="s">
        <v>542</v>
      </c>
      <c r="D601" s="170" t="s">
        <v>97</v>
      </c>
      <c r="E601" s="367">
        <v>30000</v>
      </c>
      <c r="F601" s="454">
        <f t="shared" si="9"/>
        <v>56.031826077211861</v>
      </c>
      <c r="G601" s="239">
        <v>535.41</v>
      </c>
      <c r="H601" s="456" t="s">
        <v>134</v>
      </c>
      <c r="I601" s="170" t="s">
        <v>736</v>
      </c>
      <c r="J601" s="170" t="s">
        <v>96</v>
      </c>
      <c r="K601" s="170" t="s">
        <v>345</v>
      </c>
      <c r="L601" s="170" t="s">
        <v>113</v>
      </c>
      <c r="M601" s="75"/>
      <c r="N601" s="75"/>
      <c r="O601" s="75"/>
    </row>
    <row r="602" spans="1:15">
      <c r="A602" s="457">
        <v>46107</v>
      </c>
      <c r="B602" s="242" t="s">
        <v>780</v>
      </c>
      <c r="C602" s="170" t="s">
        <v>337</v>
      </c>
      <c r="D602" s="469" t="s">
        <v>100</v>
      </c>
      <c r="E602" s="299">
        <v>1000</v>
      </c>
      <c r="F602" s="454">
        <f t="shared" si="9"/>
        <v>1.867727535907062</v>
      </c>
      <c r="G602" s="239">
        <v>535.41</v>
      </c>
      <c r="H602" s="242" t="s">
        <v>129</v>
      </c>
      <c r="I602" s="242" t="s">
        <v>792</v>
      </c>
      <c r="J602" s="170" t="s">
        <v>96</v>
      </c>
      <c r="K602" s="170" t="s">
        <v>345</v>
      </c>
      <c r="L602" s="170" t="s">
        <v>113</v>
      </c>
      <c r="M602" s="75"/>
      <c r="N602" s="75"/>
      <c r="O602" s="75"/>
    </row>
    <row r="603" spans="1:15">
      <c r="A603" s="457">
        <v>46107</v>
      </c>
      <c r="B603" s="242" t="s">
        <v>814</v>
      </c>
      <c r="C603" s="170" t="s">
        <v>337</v>
      </c>
      <c r="D603" s="242" t="s">
        <v>97</v>
      </c>
      <c r="E603" s="242">
        <v>2000</v>
      </c>
      <c r="F603" s="454">
        <f t="shared" si="9"/>
        <v>3.735455071814124</v>
      </c>
      <c r="G603" s="239">
        <v>535.41</v>
      </c>
      <c r="H603" s="242" t="s">
        <v>124</v>
      </c>
      <c r="I603" s="242" t="s">
        <v>836</v>
      </c>
      <c r="J603" s="170" t="s">
        <v>96</v>
      </c>
      <c r="K603" s="170" t="s">
        <v>345</v>
      </c>
      <c r="L603" s="170" t="s">
        <v>113</v>
      </c>
      <c r="M603" s="75"/>
      <c r="N603" s="75"/>
      <c r="O603" s="75"/>
    </row>
    <row r="604" spans="1:15">
      <c r="A604" s="457">
        <v>46107</v>
      </c>
      <c r="B604" s="242" t="s">
        <v>815</v>
      </c>
      <c r="C604" s="170" t="s">
        <v>337</v>
      </c>
      <c r="D604" s="242" t="s">
        <v>97</v>
      </c>
      <c r="E604" s="242">
        <v>500</v>
      </c>
      <c r="F604" s="454">
        <f t="shared" si="9"/>
        <v>0.93386376795353099</v>
      </c>
      <c r="G604" s="239">
        <v>535.41</v>
      </c>
      <c r="H604" s="242" t="s">
        <v>124</v>
      </c>
      <c r="I604" s="242" t="s">
        <v>836</v>
      </c>
      <c r="J604" s="170" t="s">
        <v>96</v>
      </c>
      <c r="K604" s="170" t="s">
        <v>345</v>
      </c>
      <c r="L604" s="170" t="s">
        <v>113</v>
      </c>
      <c r="M604" s="75"/>
      <c r="N604" s="75"/>
      <c r="O604" s="75"/>
    </row>
    <row r="605" spans="1:15">
      <c r="A605" s="457">
        <v>46107</v>
      </c>
      <c r="B605" s="242" t="s">
        <v>816</v>
      </c>
      <c r="C605" s="170" t="s">
        <v>337</v>
      </c>
      <c r="D605" s="242" t="s">
        <v>97</v>
      </c>
      <c r="E605" s="242">
        <v>500</v>
      </c>
      <c r="F605" s="454">
        <f t="shared" si="9"/>
        <v>0.93386376795353099</v>
      </c>
      <c r="G605" s="239">
        <v>535.41</v>
      </c>
      <c r="H605" s="242" t="s">
        <v>124</v>
      </c>
      <c r="I605" s="242" t="s">
        <v>836</v>
      </c>
      <c r="J605" s="170" t="s">
        <v>96</v>
      </c>
      <c r="K605" s="170" t="s">
        <v>345</v>
      </c>
      <c r="L605" s="170" t="s">
        <v>113</v>
      </c>
      <c r="M605" s="75"/>
      <c r="N605" s="75"/>
      <c r="O605" s="75"/>
    </row>
    <row r="606" spans="1:15">
      <c r="A606" s="457">
        <v>46107</v>
      </c>
      <c r="B606" s="242" t="s">
        <v>817</v>
      </c>
      <c r="C606" s="242" t="s">
        <v>818</v>
      </c>
      <c r="D606" s="242" t="s">
        <v>97</v>
      </c>
      <c r="E606" s="242">
        <v>1500</v>
      </c>
      <c r="F606" s="454">
        <f t="shared" si="9"/>
        <v>2.8015913038605929</v>
      </c>
      <c r="G606" s="239">
        <v>535.41</v>
      </c>
      <c r="H606" s="242" t="s">
        <v>124</v>
      </c>
      <c r="I606" s="242" t="s">
        <v>849</v>
      </c>
      <c r="J606" s="170" t="s">
        <v>96</v>
      </c>
      <c r="K606" s="170" t="s">
        <v>345</v>
      </c>
      <c r="L606" s="170" t="s">
        <v>113</v>
      </c>
      <c r="M606" s="75"/>
      <c r="N606" s="75"/>
      <c r="O606" s="75"/>
    </row>
    <row r="607" spans="1:15">
      <c r="A607" s="457">
        <v>46107</v>
      </c>
      <c r="B607" s="242" t="s">
        <v>819</v>
      </c>
      <c r="C607" s="170" t="s">
        <v>337</v>
      </c>
      <c r="D607" s="242" t="s">
        <v>97</v>
      </c>
      <c r="E607" s="242">
        <v>500</v>
      </c>
      <c r="F607" s="454">
        <f t="shared" si="9"/>
        <v>0.93386376795353099</v>
      </c>
      <c r="G607" s="239">
        <v>535.41</v>
      </c>
      <c r="H607" s="242" t="s">
        <v>124</v>
      </c>
      <c r="I607" s="242" t="s">
        <v>836</v>
      </c>
      <c r="J607" s="170" t="s">
        <v>96</v>
      </c>
      <c r="K607" s="170" t="s">
        <v>345</v>
      </c>
      <c r="L607" s="170" t="s">
        <v>113</v>
      </c>
      <c r="M607" s="75"/>
      <c r="N607" s="75"/>
      <c r="O607" s="75"/>
    </row>
    <row r="608" spans="1:15">
      <c r="A608" s="457">
        <v>46107</v>
      </c>
      <c r="B608" s="242" t="s">
        <v>820</v>
      </c>
      <c r="C608" s="242" t="s">
        <v>542</v>
      </c>
      <c r="D608" s="242" t="s">
        <v>97</v>
      </c>
      <c r="E608" s="242">
        <v>20000</v>
      </c>
      <c r="F608" s="454">
        <f t="shared" si="9"/>
        <v>37.35455071814124</v>
      </c>
      <c r="G608" s="239">
        <v>535.41</v>
      </c>
      <c r="H608" s="242" t="s">
        <v>124</v>
      </c>
      <c r="I608" s="242" t="s">
        <v>850</v>
      </c>
      <c r="J608" s="170" t="s">
        <v>96</v>
      </c>
      <c r="K608" s="170" t="s">
        <v>345</v>
      </c>
      <c r="L608" s="170" t="s">
        <v>113</v>
      </c>
      <c r="M608" s="75"/>
      <c r="N608" s="75"/>
      <c r="O608" s="75"/>
    </row>
    <row r="609" spans="1:15">
      <c r="A609" s="450">
        <v>46107</v>
      </c>
      <c r="B609" s="243" t="s">
        <v>1013</v>
      </c>
      <c r="C609" s="170" t="s">
        <v>104</v>
      </c>
      <c r="D609" s="170" t="s">
        <v>97</v>
      </c>
      <c r="E609" s="245">
        <v>228800</v>
      </c>
      <c r="F609" s="454">
        <f t="shared" si="9"/>
        <v>427.33606021553578</v>
      </c>
      <c r="G609" s="239">
        <v>535.41</v>
      </c>
      <c r="H609" s="242" t="s">
        <v>107</v>
      </c>
      <c r="I609" s="242" t="s">
        <v>980</v>
      </c>
      <c r="J609" s="170" t="s">
        <v>96</v>
      </c>
      <c r="K609" s="170" t="s">
        <v>345</v>
      </c>
      <c r="L609" s="170" t="s">
        <v>113</v>
      </c>
      <c r="M609" s="75"/>
      <c r="N609" s="75"/>
      <c r="O609" s="75"/>
    </row>
    <row r="610" spans="1:15">
      <c r="A610" s="450">
        <v>46107</v>
      </c>
      <c r="B610" s="300" t="s">
        <v>941</v>
      </c>
      <c r="C610" s="248" t="s">
        <v>104</v>
      </c>
      <c r="D610" s="452" t="s">
        <v>97</v>
      </c>
      <c r="E610" s="245">
        <v>581764</v>
      </c>
      <c r="F610" s="454">
        <f t="shared" si="9"/>
        <v>1086.576642199436</v>
      </c>
      <c r="G610" s="239">
        <v>535.41</v>
      </c>
      <c r="H610" s="242" t="s">
        <v>107</v>
      </c>
      <c r="I610" s="242" t="s">
        <v>981</v>
      </c>
      <c r="J610" s="170" t="s">
        <v>96</v>
      </c>
      <c r="K610" s="170" t="s">
        <v>345</v>
      </c>
      <c r="L610" s="170" t="s">
        <v>113</v>
      </c>
      <c r="M610" s="75"/>
      <c r="N610" s="75"/>
      <c r="O610" s="75"/>
    </row>
    <row r="611" spans="1:15">
      <c r="A611" s="450">
        <v>46107</v>
      </c>
      <c r="B611" s="243" t="s">
        <v>942</v>
      </c>
      <c r="C611" s="170" t="s">
        <v>104</v>
      </c>
      <c r="D611" s="248" t="s">
        <v>97</v>
      </c>
      <c r="E611" s="245">
        <v>563119</v>
      </c>
      <c r="F611" s="454">
        <f t="shared" si="9"/>
        <v>1051.7528622924488</v>
      </c>
      <c r="G611" s="239">
        <v>535.41</v>
      </c>
      <c r="H611" s="242" t="s">
        <v>107</v>
      </c>
      <c r="I611" s="242" t="s">
        <v>982</v>
      </c>
      <c r="J611" s="170" t="s">
        <v>96</v>
      </c>
      <c r="K611" s="170" t="s">
        <v>345</v>
      </c>
      <c r="L611" s="170" t="s">
        <v>113</v>
      </c>
      <c r="M611" s="75"/>
      <c r="N611" s="75"/>
      <c r="O611" s="75"/>
    </row>
    <row r="612" spans="1:15">
      <c r="A612" s="450">
        <v>46107</v>
      </c>
      <c r="B612" s="243" t="s">
        <v>943</v>
      </c>
      <c r="C612" s="170" t="s">
        <v>104</v>
      </c>
      <c r="D612" s="248" t="s">
        <v>100</v>
      </c>
      <c r="E612" s="245">
        <v>268210</v>
      </c>
      <c r="F612" s="454">
        <f t="shared" si="9"/>
        <v>500.94320240563309</v>
      </c>
      <c r="G612" s="239">
        <v>535.41</v>
      </c>
      <c r="H612" s="242" t="s">
        <v>107</v>
      </c>
      <c r="I612" s="242" t="s">
        <v>983</v>
      </c>
      <c r="J612" s="170" t="s">
        <v>96</v>
      </c>
      <c r="K612" s="170" t="s">
        <v>345</v>
      </c>
      <c r="L612" s="170" t="s">
        <v>113</v>
      </c>
      <c r="M612" s="75"/>
      <c r="N612" s="75"/>
      <c r="O612" s="75"/>
    </row>
    <row r="613" spans="1:15">
      <c r="A613" s="450">
        <v>46107</v>
      </c>
      <c r="B613" s="243" t="s">
        <v>944</v>
      </c>
      <c r="C613" s="248" t="s">
        <v>104</v>
      </c>
      <c r="D613" s="249" t="s">
        <v>99</v>
      </c>
      <c r="E613" s="245">
        <v>1311000</v>
      </c>
      <c r="F613" s="454">
        <f t="shared" si="9"/>
        <v>2448.5907995741582</v>
      </c>
      <c r="G613" s="239">
        <v>535.41</v>
      </c>
      <c r="H613" s="242" t="s">
        <v>107</v>
      </c>
      <c r="I613" s="242" t="s">
        <v>984</v>
      </c>
      <c r="J613" s="170" t="s">
        <v>96</v>
      </c>
      <c r="K613" s="170" t="s">
        <v>345</v>
      </c>
      <c r="L613" s="170" t="s">
        <v>113</v>
      </c>
      <c r="M613" s="75"/>
      <c r="N613" s="75"/>
      <c r="O613" s="75"/>
    </row>
    <row r="614" spans="1:15">
      <c r="A614" s="450">
        <v>46107</v>
      </c>
      <c r="B614" s="243" t="s">
        <v>945</v>
      </c>
      <c r="C614" s="170" t="s">
        <v>104</v>
      </c>
      <c r="D614" s="170" t="s">
        <v>98</v>
      </c>
      <c r="E614" s="245">
        <v>328800</v>
      </c>
      <c r="F614" s="454">
        <f t="shared" si="9"/>
        <v>614.10881380624198</v>
      </c>
      <c r="G614" s="239">
        <v>535.41</v>
      </c>
      <c r="H614" s="242" t="s">
        <v>107</v>
      </c>
      <c r="I614" s="242" t="s">
        <v>985</v>
      </c>
      <c r="J614" s="170" t="s">
        <v>96</v>
      </c>
      <c r="K614" s="170" t="s">
        <v>345</v>
      </c>
      <c r="L614" s="170" t="s">
        <v>113</v>
      </c>
      <c r="M614" s="75"/>
      <c r="N614" s="75"/>
      <c r="O614" s="75"/>
    </row>
    <row r="615" spans="1:15">
      <c r="A615" s="450">
        <v>46107</v>
      </c>
      <c r="B615" s="243" t="s">
        <v>946</v>
      </c>
      <c r="C615" s="170" t="s">
        <v>278</v>
      </c>
      <c r="D615" s="248" t="s">
        <v>98</v>
      </c>
      <c r="E615" s="245">
        <v>10665</v>
      </c>
      <c r="F615" s="454">
        <f t="shared" si="9"/>
        <v>19.919314170448818</v>
      </c>
      <c r="G615" s="239">
        <v>535.41</v>
      </c>
      <c r="H615" s="242" t="s">
        <v>107</v>
      </c>
      <c r="I615" s="242" t="s">
        <v>986</v>
      </c>
      <c r="J615" s="170" t="s">
        <v>96</v>
      </c>
      <c r="K615" s="170" t="s">
        <v>345</v>
      </c>
      <c r="L615" s="170" t="s">
        <v>113</v>
      </c>
      <c r="M615" s="75"/>
      <c r="N615" s="75"/>
      <c r="O615" s="75"/>
    </row>
    <row r="616" spans="1:15">
      <c r="A616" s="457">
        <v>46108</v>
      </c>
      <c r="B616" s="242" t="s">
        <v>186</v>
      </c>
      <c r="C616" s="170" t="s">
        <v>337</v>
      </c>
      <c r="D616" s="458" t="s">
        <v>99</v>
      </c>
      <c r="E616" s="242">
        <v>1000</v>
      </c>
      <c r="F616" s="454">
        <f t="shared" si="9"/>
        <v>1.9254803020356539</v>
      </c>
      <c r="G616" s="239">
        <v>519.35093749999999</v>
      </c>
      <c r="H616" s="459" t="s">
        <v>111</v>
      </c>
      <c r="I616" s="170" t="s">
        <v>380</v>
      </c>
      <c r="J616" s="170" t="s">
        <v>96</v>
      </c>
      <c r="K616" s="170" t="s">
        <v>345</v>
      </c>
      <c r="L616" s="170" t="s">
        <v>113</v>
      </c>
      <c r="M616" s="361"/>
      <c r="N616" s="361"/>
      <c r="O616" s="271"/>
    </row>
    <row r="617" spans="1:15">
      <c r="A617" s="457">
        <v>46108</v>
      </c>
      <c r="B617" s="242" t="s">
        <v>187</v>
      </c>
      <c r="C617" s="170" t="s">
        <v>337</v>
      </c>
      <c r="D617" s="458" t="s">
        <v>99</v>
      </c>
      <c r="E617" s="242">
        <v>1000</v>
      </c>
      <c r="F617" s="454">
        <f t="shared" si="9"/>
        <v>1.9254803020356539</v>
      </c>
      <c r="G617" s="239">
        <v>519.35093749999999</v>
      </c>
      <c r="H617" s="459" t="s">
        <v>111</v>
      </c>
      <c r="I617" s="170" t="s">
        <v>380</v>
      </c>
      <c r="J617" s="170" t="s">
        <v>96</v>
      </c>
      <c r="K617" s="170" t="s">
        <v>345</v>
      </c>
      <c r="L617" s="170" t="s">
        <v>113</v>
      </c>
      <c r="M617" s="364"/>
      <c r="N617" s="364"/>
      <c r="O617" s="75"/>
    </row>
    <row r="618" spans="1:15">
      <c r="A618" s="457">
        <v>46108</v>
      </c>
      <c r="B618" s="242" t="s">
        <v>487</v>
      </c>
      <c r="C618" s="242" t="s">
        <v>463</v>
      </c>
      <c r="D618" s="242" t="s">
        <v>98</v>
      </c>
      <c r="E618" s="460">
        <v>2660</v>
      </c>
      <c r="F618" s="454">
        <f t="shared" si="9"/>
        <v>4.9681552455127846</v>
      </c>
      <c r="G618" s="239">
        <v>535.41</v>
      </c>
      <c r="H618" s="242" t="s">
        <v>168</v>
      </c>
      <c r="I618" s="170" t="s">
        <v>530</v>
      </c>
      <c r="J618" s="170" t="s">
        <v>96</v>
      </c>
      <c r="K618" s="170" t="s">
        <v>345</v>
      </c>
      <c r="L618" s="170" t="s">
        <v>113</v>
      </c>
      <c r="M618" s="75"/>
      <c r="N618" s="75"/>
      <c r="O618" s="75"/>
    </row>
    <row r="619" spans="1:15">
      <c r="A619" s="457">
        <v>46108</v>
      </c>
      <c r="B619" s="170" t="s">
        <v>488</v>
      </c>
      <c r="C619" s="242" t="s">
        <v>120</v>
      </c>
      <c r="D619" s="242" t="s">
        <v>98</v>
      </c>
      <c r="E619" s="460">
        <v>10000</v>
      </c>
      <c r="F619" s="454">
        <f t="shared" si="9"/>
        <v>18.67727535907062</v>
      </c>
      <c r="G619" s="239">
        <v>535.41</v>
      </c>
      <c r="H619" s="242" t="s">
        <v>168</v>
      </c>
      <c r="I619" s="170" t="s">
        <v>531</v>
      </c>
      <c r="J619" s="170" t="s">
        <v>96</v>
      </c>
      <c r="K619" s="170" t="s">
        <v>345</v>
      </c>
      <c r="L619" s="170" t="s">
        <v>113</v>
      </c>
      <c r="M619" s="75"/>
      <c r="N619" s="75"/>
      <c r="O619" s="75"/>
    </row>
    <row r="620" spans="1:15">
      <c r="A620" s="457">
        <v>46108</v>
      </c>
      <c r="B620" s="170" t="s">
        <v>489</v>
      </c>
      <c r="C620" s="242" t="s">
        <v>120</v>
      </c>
      <c r="D620" s="242" t="s">
        <v>98</v>
      </c>
      <c r="E620" s="460">
        <v>4000</v>
      </c>
      <c r="F620" s="454">
        <f t="shared" si="9"/>
        <v>7.4709101436282479</v>
      </c>
      <c r="G620" s="239">
        <v>535.41</v>
      </c>
      <c r="H620" s="242" t="s">
        <v>168</v>
      </c>
      <c r="I620" s="170" t="s">
        <v>531</v>
      </c>
      <c r="J620" s="170" t="s">
        <v>96</v>
      </c>
      <c r="K620" s="170" t="s">
        <v>345</v>
      </c>
      <c r="L620" s="170" t="s">
        <v>113</v>
      </c>
      <c r="M620" s="75"/>
      <c r="N620" s="75"/>
      <c r="O620" s="75"/>
    </row>
    <row r="621" spans="1:15">
      <c r="A621" s="457">
        <v>46108</v>
      </c>
      <c r="B621" s="170" t="s">
        <v>490</v>
      </c>
      <c r="C621" s="242" t="s">
        <v>120</v>
      </c>
      <c r="D621" s="242" t="s">
        <v>98</v>
      </c>
      <c r="E621" s="460">
        <v>3500</v>
      </c>
      <c r="F621" s="454">
        <f t="shared" si="9"/>
        <v>6.5370463756747172</v>
      </c>
      <c r="G621" s="239">
        <v>535.41</v>
      </c>
      <c r="H621" s="242" t="s">
        <v>168</v>
      </c>
      <c r="I621" s="170" t="s">
        <v>531</v>
      </c>
      <c r="J621" s="170" t="s">
        <v>96</v>
      </c>
      <c r="K621" s="170" t="s">
        <v>345</v>
      </c>
      <c r="L621" s="170" t="s">
        <v>113</v>
      </c>
      <c r="M621" s="75"/>
      <c r="N621" s="75"/>
      <c r="O621" s="75"/>
    </row>
    <row r="622" spans="1:15">
      <c r="A622" s="457">
        <v>46108</v>
      </c>
      <c r="B622" s="170" t="s">
        <v>491</v>
      </c>
      <c r="C622" s="242" t="s">
        <v>120</v>
      </c>
      <c r="D622" s="242" t="s">
        <v>98</v>
      </c>
      <c r="E622" s="460">
        <v>3500</v>
      </c>
      <c r="F622" s="454">
        <f t="shared" si="9"/>
        <v>6.5370463756747172</v>
      </c>
      <c r="G622" s="239">
        <v>535.41</v>
      </c>
      <c r="H622" s="242" t="s">
        <v>168</v>
      </c>
      <c r="I622" s="170" t="s">
        <v>531</v>
      </c>
      <c r="J622" s="170" t="s">
        <v>96</v>
      </c>
      <c r="K622" s="170" t="s">
        <v>345</v>
      </c>
      <c r="L622" s="170" t="s">
        <v>113</v>
      </c>
      <c r="M622" s="75"/>
      <c r="N622" s="75"/>
      <c r="O622" s="75"/>
    </row>
    <row r="623" spans="1:15">
      <c r="A623" s="457">
        <v>46108</v>
      </c>
      <c r="B623" s="170" t="s">
        <v>492</v>
      </c>
      <c r="C623" s="242" t="s">
        <v>120</v>
      </c>
      <c r="D623" s="242" t="s">
        <v>98</v>
      </c>
      <c r="E623" s="460">
        <v>5600</v>
      </c>
      <c r="F623" s="454">
        <f t="shared" si="9"/>
        <v>10.459274201079547</v>
      </c>
      <c r="G623" s="239">
        <v>535.41</v>
      </c>
      <c r="H623" s="242" t="s">
        <v>168</v>
      </c>
      <c r="I623" s="170" t="s">
        <v>531</v>
      </c>
      <c r="J623" s="170" t="s">
        <v>96</v>
      </c>
      <c r="K623" s="170" t="s">
        <v>345</v>
      </c>
      <c r="L623" s="170" t="s">
        <v>113</v>
      </c>
      <c r="M623" s="75"/>
      <c r="N623" s="75"/>
      <c r="O623" s="75"/>
    </row>
    <row r="624" spans="1:15">
      <c r="A624" s="457">
        <v>46108</v>
      </c>
      <c r="B624" s="170" t="s">
        <v>493</v>
      </c>
      <c r="C624" s="242" t="s">
        <v>120</v>
      </c>
      <c r="D624" s="242" t="s">
        <v>98</v>
      </c>
      <c r="E624" s="460">
        <v>6000</v>
      </c>
      <c r="F624" s="454">
        <f t="shared" si="9"/>
        <v>11.206365215442371</v>
      </c>
      <c r="G624" s="239">
        <v>535.41</v>
      </c>
      <c r="H624" s="242" t="s">
        <v>168</v>
      </c>
      <c r="I624" s="170" t="s">
        <v>531</v>
      </c>
      <c r="J624" s="170" t="s">
        <v>96</v>
      </c>
      <c r="K624" s="170" t="s">
        <v>345</v>
      </c>
      <c r="L624" s="170" t="s">
        <v>113</v>
      </c>
      <c r="M624" s="75"/>
      <c r="N624" s="75"/>
      <c r="O624" s="75"/>
    </row>
    <row r="625" spans="1:15">
      <c r="A625" s="457">
        <v>46108</v>
      </c>
      <c r="B625" s="170" t="s">
        <v>494</v>
      </c>
      <c r="C625" s="242" t="s">
        <v>120</v>
      </c>
      <c r="D625" s="242" t="s">
        <v>98</v>
      </c>
      <c r="E625" s="460">
        <v>1250</v>
      </c>
      <c r="F625" s="454">
        <f t="shared" si="9"/>
        <v>2.3346594198838275</v>
      </c>
      <c r="G625" s="239">
        <v>535.41</v>
      </c>
      <c r="H625" s="242" t="s">
        <v>168</v>
      </c>
      <c r="I625" s="170" t="s">
        <v>531</v>
      </c>
      <c r="J625" s="170" t="s">
        <v>96</v>
      </c>
      <c r="K625" s="170" t="s">
        <v>345</v>
      </c>
      <c r="L625" s="170" t="s">
        <v>113</v>
      </c>
      <c r="M625" s="75"/>
      <c r="N625" s="75"/>
      <c r="O625" s="75"/>
    </row>
    <row r="626" spans="1:15">
      <c r="A626" s="457">
        <v>46108</v>
      </c>
      <c r="B626" s="170" t="s">
        <v>495</v>
      </c>
      <c r="C626" s="242" t="s">
        <v>120</v>
      </c>
      <c r="D626" s="242" t="s">
        <v>98</v>
      </c>
      <c r="E626" s="460">
        <v>1200</v>
      </c>
      <c r="F626" s="454">
        <f t="shared" si="9"/>
        <v>2.2412730430884742</v>
      </c>
      <c r="G626" s="239">
        <v>535.41</v>
      </c>
      <c r="H626" s="242" t="s">
        <v>168</v>
      </c>
      <c r="I626" s="170" t="s">
        <v>531</v>
      </c>
      <c r="J626" s="170" t="s">
        <v>96</v>
      </c>
      <c r="K626" s="170" t="s">
        <v>345</v>
      </c>
      <c r="L626" s="170" t="s">
        <v>113</v>
      </c>
      <c r="M626" s="75"/>
      <c r="N626" s="75"/>
      <c r="O626" s="75"/>
    </row>
    <row r="627" spans="1:15">
      <c r="A627" s="457">
        <v>46108</v>
      </c>
      <c r="B627" s="170" t="s">
        <v>496</v>
      </c>
      <c r="C627" s="242" t="s">
        <v>120</v>
      </c>
      <c r="D627" s="242" t="s">
        <v>98</v>
      </c>
      <c r="E627" s="460">
        <v>3700</v>
      </c>
      <c r="F627" s="454">
        <f t="shared" si="9"/>
        <v>6.9105918828561297</v>
      </c>
      <c r="G627" s="239">
        <v>535.41</v>
      </c>
      <c r="H627" s="242" t="s">
        <v>168</v>
      </c>
      <c r="I627" s="170" t="s">
        <v>531</v>
      </c>
      <c r="J627" s="170" t="s">
        <v>96</v>
      </c>
      <c r="K627" s="170" t="s">
        <v>345</v>
      </c>
      <c r="L627" s="170" t="s">
        <v>113</v>
      </c>
      <c r="M627" s="75"/>
      <c r="N627" s="75"/>
      <c r="O627" s="75"/>
    </row>
    <row r="628" spans="1:15">
      <c r="A628" s="457">
        <v>46108</v>
      </c>
      <c r="B628" s="170" t="s">
        <v>497</v>
      </c>
      <c r="C628" s="242" t="s">
        <v>120</v>
      </c>
      <c r="D628" s="242" t="s">
        <v>98</v>
      </c>
      <c r="E628" s="460">
        <v>17550</v>
      </c>
      <c r="F628" s="454">
        <f t="shared" si="9"/>
        <v>32.778618255168936</v>
      </c>
      <c r="G628" s="239">
        <v>535.41</v>
      </c>
      <c r="H628" s="242" t="s">
        <v>168</v>
      </c>
      <c r="I628" s="170" t="s">
        <v>531</v>
      </c>
      <c r="J628" s="170" t="s">
        <v>96</v>
      </c>
      <c r="K628" s="170" t="s">
        <v>345</v>
      </c>
      <c r="L628" s="170" t="s">
        <v>113</v>
      </c>
      <c r="M628" s="75"/>
      <c r="N628" s="75"/>
      <c r="O628" s="75"/>
    </row>
    <row r="629" spans="1:15">
      <c r="A629" s="457">
        <v>46108</v>
      </c>
      <c r="B629" s="170" t="s">
        <v>498</v>
      </c>
      <c r="C629" s="242" t="s">
        <v>120</v>
      </c>
      <c r="D629" s="242" t="s">
        <v>98</v>
      </c>
      <c r="E629" s="460">
        <v>11100</v>
      </c>
      <c r="F629" s="454">
        <f t="shared" si="9"/>
        <v>20.731775648568387</v>
      </c>
      <c r="G629" s="239">
        <v>535.41</v>
      </c>
      <c r="H629" s="242" t="s">
        <v>168</v>
      </c>
      <c r="I629" s="170" t="s">
        <v>531</v>
      </c>
      <c r="J629" s="170" t="s">
        <v>96</v>
      </c>
      <c r="K629" s="170" t="s">
        <v>345</v>
      </c>
      <c r="L629" s="170" t="s">
        <v>113</v>
      </c>
      <c r="M629" s="75"/>
      <c r="N629" s="75"/>
      <c r="O629" s="75"/>
    </row>
    <row r="630" spans="1:15">
      <c r="A630" s="467">
        <v>46108</v>
      </c>
      <c r="B630" s="242" t="s">
        <v>499</v>
      </c>
      <c r="C630" s="170" t="s">
        <v>337</v>
      </c>
      <c r="D630" s="242" t="s">
        <v>98</v>
      </c>
      <c r="E630" s="298">
        <v>1000</v>
      </c>
      <c r="F630" s="454">
        <f t="shared" si="9"/>
        <v>1.867727535907062</v>
      </c>
      <c r="G630" s="239">
        <v>535.41</v>
      </c>
      <c r="H630" s="242" t="s">
        <v>168</v>
      </c>
      <c r="I630" s="242" t="s">
        <v>510</v>
      </c>
      <c r="J630" s="170" t="s">
        <v>96</v>
      </c>
      <c r="K630" s="170" t="s">
        <v>345</v>
      </c>
      <c r="L630" s="170" t="s">
        <v>113</v>
      </c>
      <c r="M630" s="75"/>
      <c r="N630" s="75"/>
      <c r="O630" s="75"/>
    </row>
    <row r="631" spans="1:15">
      <c r="A631" s="467">
        <v>46108</v>
      </c>
      <c r="B631" s="242" t="s">
        <v>470</v>
      </c>
      <c r="C631" s="170" t="s">
        <v>337</v>
      </c>
      <c r="D631" s="242" t="s">
        <v>98</v>
      </c>
      <c r="E631" s="298">
        <v>1000</v>
      </c>
      <c r="F631" s="454">
        <f t="shared" si="9"/>
        <v>1.867727535907062</v>
      </c>
      <c r="G631" s="239">
        <v>535.41</v>
      </c>
      <c r="H631" s="242" t="s">
        <v>168</v>
      </c>
      <c r="I631" s="242" t="s">
        <v>510</v>
      </c>
      <c r="J631" s="170" t="s">
        <v>96</v>
      </c>
      <c r="K631" s="170" t="s">
        <v>345</v>
      </c>
      <c r="L631" s="170" t="s">
        <v>113</v>
      </c>
      <c r="M631" s="75"/>
      <c r="N631" s="75"/>
      <c r="O631" s="75"/>
    </row>
    <row r="632" spans="1:15">
      <c r="A632" s="467">
        <v>46108</v>
      </c>
      <c r="B632" s="242" t="s">
        <v>500</v>
      </c>
      <c r="C632" s="170" t="s">
        <v>337</v>
      </c>
      <c r="D632" s="242" t="s">
        <v>98</v>
      </c>
      <c r="E632" s="298">
        <v>1000</v>
      </c>
      <c r="F632" s="454">
        <f t="shared" si="9"/>
        <v>1.867727535907062</v>
      </c>
      <c r="G632" s="239">
        <v>535.41</v>
      </c>
      <c r="H632" s="242" t="s">
        <v>168</v>
      </c>
      <c r="I632" s="242" t="s">
        <v>510</v>
      </c>
      <c r="J632" s="170" t="s">
        <v>96</v>
      </c>
      <c r="K632" s="170" t="s">
        <v>345</v>
      </c>
      <c r="L632" s="170" t="s">
        <v>113</v>
      </c>
      <c r="M632" s="75"/>
      <c r="N632" s="75"/>
      <c r="O632" s="75"/>
    </row>
    <row r="633" spans="1:15">
      <c r="A633" s="467">
        <v>46108</v>
      </c>
      <c r="B633" s="242" t="s">
        <v>501</v>
      </c>
      <c r="C633" s="170" t="s">
        <v>337</v>
      </c>
      <c r="D633" s="242" t="s">
        <v>98</v>
      </c>
      <c r="E633" s="298">
        <v>1000</v>
      </c>
      <c r="F633" s="454">
        <f t="shared" si="9"/>
        <v>1.867727535907062</v>
      </c>
      <c r="G633" s="239">
        <v>535.41</v>
      </c>
      <c r="H633" s="242" t="s">
        <v>168</v>
      </c>
      <c r="I633" s="242" t="s">
        <v>510</v>
      </c>
      <c r="J633" s="170" t="s">
        <v>96</v>
      </c>
      <c r="K633" s="170" t="s">
        <v>345</v>
      </c>
      <c r="L633" s="170" t="s">
        <v>113</v>
      </c>
      <c r="M633" s="75"/>
      <c r="N633" s="75"/>
      <c r="O633" s="75"/>
    </row>
    <row r="634" spans="1:15">
      <c r="A634" s="457">
        <v>46108</v>
      </c>
      <c r="B634" s="242" t="s">
        <v>1031</v>
      </c>
      <c r="C634" s="242" t="s">
        <v>402</v>
      </c>
      <c r="D634" s="242" t="s">
        <v>259</v>
      </c>
      <c r="E634" s="242">
        <v>4000</v>
      </c>
      <c r="F634" s="454">
        <f t="shared" si="9"/>
        <v>7.4709101436282479</v>
      </c>
      <c r="G634" s="239">
        <v>535.41</v>
      </c>
      <c r="H634" s="242" t="s">
        <v>122</v>
      </c>
      <c r="I634" s="242" t="s">
        <v>634</v>
      </c>
      <c r="J634" s="170" t="s">
        <v>96</v>
      </c>
      <c r="K634" s="170" t="s">
        <v>345</v>
      </c>
      <c r="L634" s="170" t="s">
        <v>113</v>
      </c>
      <c r="M634" s="75"/>
      <c r="N634" s="75"/>
      <c r="O634" s="75"/>
    </row>
    <row r="635" spans="1:15">
      <c r="A635" s="457">
        <v>46108</v>
      </c>
      <c r="B635" s="242" t="s">
        <v>1031</v>
      </c>
      <c r="C635" s="242" t="s">
        <v>402</v>
      </c>
      <c r="D635" s="242" t="s">
        <v>259</v>
      </c>
      <c r="E635" s="242">
        <v>4000</v>
      </c>
      <c r="F635" s="454">
        <f t="shared" si="9"/>
        <v>7.4709101436282479</v>
      </c>
      <c r="G635" s="239">
        <v>535.41</v>
      </c>
      <c r="H635" s="242" t="s">
        <v>122</v>
      </c>
      <c r="I635" s="242" t="s">
        <v>635</v>
      </c>
      <c r="J635" s="170" t="s">
        <v>96</v>
      </c>
      <c r="K635" s="170" t="s">
        <v>345</v>
      </c>
      <c r="L635" s="170" t="s">
        <v>113</v>
      </c>
      <c r="M635" s="75"/>
      <c r="N635" s="75"/>
      <c r="O635" s="75"/>
    </row>
    <row r="636" spans="1:15">
      <c r="A636" s="457">
        <v>46108</v>
      </c>
      <c r="B636" s="242" t="s">
        <v>1027</v>
      </c>
      <c r="C636" s="170" t="s">
        <v>337</v>
      </c>
      <c r="D636" s="242" t="s">
        <v>259</v>
      </c>
      <c r="E636" s="242">
        <v>500</v>
      </c>
      <c r="F636" s="454">
        <f t="shared" si="9"/>
        <v>0.93386376795353099</v>
      </c>
      <c r="G636" s="239">
        <v>535.41</v>
      </c>
      <c r="H636" s="242" t="s">
        <v>131</v>
      </c>
      <c r="I636" s="242" t="s">
        <v>653</v>
      </c>
      <c r="J636" s="170" t="s">
        <v>96</v>
      </c>
      <c r="K636" s="170" t="s">
        <v>345</v>
      </c>
      <c r="L636" s="170" t="s">
        <v>113</v>
      </c>
      <c r="M636" s="75"/>
      <c r="N636" s="75"/>
      <c r="O636" s="75"/>
    </row>
    <row r="637" spans="1:15">
      <c r="A637" s="457">
        <v>46108</v>
      </c>
      <c r="B637" s="242" t="s">
        <v>1027</v>
      </c>
      <c r="C637" s="170" t="s">
        <v>337</v>
      </c>
      <c r="D637" s="242" t="s">
        <v>259</v>
      </c>
      <c r="E637" s="242">
        <v>500</v>
      </c>
      <c r="F637" s="454">
        <f t="shared" si="9"/>
        <v>0.93386376795353099</v>
      </c>
      <c r="G637" s="239">
        <v>535.41</v>
      </c>
      <c r="H637" s="242" t="s">
        <v>131</v>
      </c>
      <c r="I637" s="242" t="s">
        <v>653</v>
      </c>
      <c r="J637" s="170" t="s">
        <v>96</v>
      </c>
      <c r="K637" s="170" t="s">
        <v>345</v>
      </c>
      <c r="L637" s="170" t="s">
        <v>113</v>
      </c>
      <c r="M637" s="75"/>
      <c r="N637" s="75"/>
      <c r="O637" s="75"/>
    </row>
    <row r="638" spans="1:15">
      <c r="A638" s="457">
        <v>46108</v>
      </c>
      <c r="B638" s="242" t="s">
        <v>1056</v>
      </c>
      <c r="C638" s="242" t="s">
        <v>647</v>
      </c>
      <c r="D638" s="242" t="s">
        <v>259</v>
      </c>
      <c r="E638" s="242">
        <v>1600</v>
      </c>
      <c r="F638" s="454">
        <f t="shared" si="9"/>
        <v>2.9883640574512991</v>
      </c>
      <c r="G638" s="239">
        <v>535.41</v>
      </c>
      <c r="H638" s="242" t="s">
        <v>131</v>
      </c>
      <c r="I638" s="242" t="s">
        <v>658</v>
      </c>
      <c r="J638" s="170" t="s">
        <v>96</v>
      </c>
      <c r="K638" s="170" t="s">
        <v>345</v>
      </c>
      <c r="L638" s="170" t="s">
        <v>113</v>
      </c>
      <c r="M638" s="75"/>
      <c r="N638" s="75"/>
      <c r="O638" s="75"/>
    </row>
    <row r="639" spans="1:15">
      <c r="A639" s="457">
        <v>46108</v>
      </c>
      <c r="B639" s="242" t="s">
        <v>1027</v>
      </c>
      <c r="C639" s="170" t="s">
        <v>337</v>
      </c>
      <c r="D639" s="242" t="s">
        <v>259</v>
      </c>
      <c r="E639" s="242">
        <v>500</v>
      </c>
      <c r="F639" s="454">
        <f t="shared" si="9"/>
        <v>0.93386376795353099</v>
      </c>
      <c r="G639" s="239">
        <v>535.41</v>
      </c>
      <c r="H639" s="242" t="s">
        <v>131</v>
      </c>
      <c r="I639" s="242" t="s">
        <v>653</v>
      </c>
      <c r="J639" s="170" t="s">
        <v>96</v>
      </c>
      <c r="K639" s="170" t="s">
        <v>345</v>
      </c>
      <c r="L639" s="170" t="s">
        <v>113</v>
      </c>
      <c r="M639" s="75"/>
      <c r="N639" s="75"/>
      <c r="O639" s="75"/>
    </row>
    <row r="640" spans="1:15">
      <c r="A640" s="457">
        <v>46108</v>
      </c>
      <c r="B640" s="242" t="s">
        <v>1031</v>
      </c>
      <c r="C640" s="170" t="s">
        <v>337</v>
      </c>
      <c r="D640" s="242" t="s">
        <v>259</v>
      </c>
      <c r="E640" s="242">
        <v>500</v>
      </c>
      <c r="F640" s="454">
        <f t="shared" si="9"/>
        <v>0.93386376795353099</v>
      </c>
      <c r="G640" s="239">
        <v>535.41</v>
      </c>
      <c r="H640" s="242" t="s">
        <v>131</v>
      </c>
      <c r="I640" s="242" t="s">
        <v>653</v>
      </c>
      <c r="J640" s="170" t="s">
        <v>96</v>
      </c>
      <c r="K640" s="170" t="s">
        <v>345</v>
      </c>
      <c r="L640" s="170" t="s">
        <v>113</v>
      </c>
      <c r="M640" s="75"/>
      <c r="N640" s="75"/>
      <c r="O640" s="75"/>
    </row>
    <row r="641" spans="1:15">
      <c r="A641" s="468">
        <v>46108</v>
      </c>
      <c r="B641" s="170" t="s">
        <v>710</v>
      </c>
      <c r="C641" s="170" t="s">
        <v>337</v>
      </c>
      <c r="D641" s="456" t="s">
        <v>97</v>
      </c>
      <c r="E641" s="367">
        <v>500</v>
      </c>
      <c r="F641" s="454">
        <f t="shared" si="9"/>
        <v>0.93386376795353099</v>
      </c>
      <c r="G641" s="239">
        <v>535.41</v>
      </c>
      <c r="H641" s="456" t="s">
        <v>134</v>
      </c>
      <c r="I641" s="170" t="s">
        <v>730</v>
      </c>
      <c r="J641" s="170" t="s">
        <v>96</v>
      </c>
      <c r="K641" s="170" t="s">
        <v>345</v>
      </c>
      <c r="L641" s="170" t="s">
        <v>113</v>
      </c>
      <c r="M641" s="75"/>
      <c r="N641" s="75"/>
      <c r="O641" s="75"/>
    </row>
    <row r="642" spans="1:15">
      <c r="A642" s="468">
        <v>46108</v>
      </c>
      <c r="B642" s="170" t="s">
        <v>711</v>
      </c>
      <c r="C642" s="170" t="s">
        <v>337</v>
      </c>
      <c r="D642" s="456" t="s">
        <v>97</v>
      </c>
      <c r="E642" s="367">
        <v>500</v>
      </c>
      <c r="F642" s="454">
        <f t="shared" ref="F642:F705" si="10">E642/G642</f>
        <v>0.93386376795353099</v>
      </c>
      <c r="G642" s="239">
        <v>535.41</v>
      </c>
      <c r="H642" s="456" t="s">
        <v>134</v>
      </c>
      <c r="I642" s="170" t="s">
        <v>730</v>
      </c>
      <c r="J642" s="170" t="s">
        <v>96</v>
      </c>
      <c r="K642" s="170" t="s">
        <v>345</v>
      </c>
      <c r="L642" s="170" t="s">
        <v>113</v>
      </c>
      <c r="M642" s="75"/>
      <c r="N642" s="75"/>
      <c r="O642" s="75"/>
    </row>
    <row r="643" spans="1:15">
      <c r="A643" s="468">
        <v>46108</v>
      </c>
      <c r="B643" s="170" t="s">
        <v>712</v>
      </c>
      <c r="C643" s="170" t="s">
        <v>337</v>
      </c>
      <c r="D643" s="456" t="s">
        <v>97</v>
      </c>
      <c r="E643" s="367">
        <v>500</v>
      </c>
      <c r="F643" s="454">
        <f t="shared" si="10"/>
        <v>0.93386376795353099</v>
      </c>
      <c r="G643" s="239">
        <v>535.41</v>
      </c>
      <c r="H643" s="456" t="s">
        <v>134</v>
      </c>
      <c r="I643" s="170" t="s">
        <v>730</v>
      </c>
      <c r="J643" s="170" t="s">
        <v>96</v>
      </c>
      <c r="K643" s="170" t="s">
        <v>345</v>
      </c>
      <c r="L643" s="170" t="s">
        <v>113</v>
      </c>
      <c r="M643" s="75"/>
      <c r="N643" s="75"/>
      <c r="O643" s="75"/>
    </row>
    <row r="644" spans="1:15">
      <c r="A644" s="468">
        <v>46108</v>
      </c>
      <c r="B644" s="170" t="s">
        <v>713</v>
      </c>
      <c r="C644" s="170" t="s">
        <v>337</v>
      </c>
      <c r="D644" s="456" t="s">
        <v>97</v>
      </c>
      <c r="E644" s="367">
        <v>500</v>
      </c>
      <c r="F644" s="454">
        <f t="shared" si="10"/>
        <v>0.93386376795353099</v>
      </c>
      <c r="G644" s="239">
        <v>535.41</v>
      </c>
      <c r="H644" s="456" t="s">
        <v>134</v>
      </c>
      <c r="I644" s="170" t="s">
        <v>730</v>
      </c>
      <c r="J644" s="170" t="s">
        <v>96</v>
      </c>
      <c r="K644" s="170" t="s">
        <v>345</v>
      </c>
      <c r="L644" s="170" t="s">
        <v>113</v>
      </c>
      <c r="M644" s="75"/>
      <c r="N644" s="75"/>
      <c r="O644" s="75"/>
    </row>
    <row r="645" spans="1:15">
      <c r="A645" s="468">
        <v>46108</v>
      </c>
      <c r="B645" s="170" t="s">
        <v>714</v>
      </c>
      <c r="C645" s="170" t="s">
        <v>414</v>
      </c>
      <c r="D645" s="456" t="s">
        <v>97</v>
      </c>
      <c r="E645" s="367">
        <v>1500</v>
      </c>
      <c r="F645" s="454">
        <f t="shared" si="10"/>
        <v>2.8015913038605929</v>
      </c>
      <c r="G645" s="239">
        <v>535.41</v>
      </c>
      <c r="H645" s="456" t="s">
        <v>134</v>
      </c>
      <c r="I645" s="170" t="s">
        <v>737</v>
      </c>
      <c r="J645" s="170" t="s">
        <v>96</v>
      </c>
      <c r="K645" s="170" t="s">
        <v>345</v>
      </c>
      <c r="L645" s="170" t="s">
        <v>113</v>
      </c>
      <c r="M645" s="75"/>
      <c r="N645" s="75"/>
      <c r="O645" s="75"/>
    </row>
    <row r="646" spans="1:15">
      <c r="A646" s="457">
        <v>46108</v>
      </c>
      <c r="B646" s="242" t="s">
        <v>816</v>
      </c>
      <c r="C646" s="170" t="s">
        <v>337</v>
      </c>
      <c r="D646" s="242" t="s">
        <v>97</v>
      </c>
      <c r="E646" s="242">
        <v>500</v>
      </c>
      <c r="F646" s="454">
        <f t="shared" si="10"/>
        <v>0.93386376795353099</v>
      </c>
      <c r="G646" s="239">
        <v>535.41</v>
      </c>
      <c r="H646" s="242" t="s">
        <v>124</v>
      </c>
      <c r="I646" s="242" t="s">
        <v>836</v>
      </c>
      <c r="J646" s="170" t="s">
        <v>96</v>
      </c>
      <c r="K646" s="170" t="s">
        <v>345</v>
      </c>
      <c r="L646" s="170" t="s">
        <v>113</v>
      </c>
      <c r="M646" s="75"/>
      <c r="N646" s="75"/>
      <c r="O646" s="75"/>
    </row>
    <row r="647" spans="1:15">
      <c r="A647" s="457">
        <v>46108</v>
      </c>
      <c r="B647" s="242" t="s">
        <v>821</v>
      </c>
      <c r="C647" s="242" t="s">
        <v>818</v>
      </c>
      <c r="D647" s="242" t="s">
        <v>97</v>
      </c>
      <c r="E647" s="242">
        <v>1500</v>
      </c>
      <c r="F647" s="454">
        <f t="shared" si="10"/>
        <v>2.8015913038605929</v>
      </c>
      <c r="G647" s="239">
        <v>535.41</v>
      </c>
      <c r="H647" s="242" t="s">
        <v>124</v>
      </c>
      <c r="I647" s="242" t="s">
        <v>849</v>
      </c>
      <c r="J647" s="170" t="s">
        <v>96</v>
      </c>
      <c r="K647" s="170" t="s">
        <v>345</v>
      </c>
      <c r="L647" s="170" t="s">
        <v>113</v>
      </c>
      <c r="M647" s="75"/>
      <c r="N647" s="75"/>
      <c r="O647" s="75"/>
    </row>
    <row r="648" spans="1:15">
      <c r="A648" s="457">
        <v>46108</v>
      </c>
      <c r="B648" s="242" t="s">
        <v>822</v>
      </c>
      <c r="C648" s="170" t="s">
        <v>337</v>
      </c>
      <c r="D648" s="242" t="s">
        <v>97</v>
      </c>
      <c r="E648" s="242">
        <v>500</v>
      </c>
      <c r="F648" s="454">
        <f t="shared" si="10"/>
        <v>0.93386376795353099</v>
      </c>
      <c r="G648" s="239">
        <v>535.41</v>
      </c>
      <c r="H648" s="242" t="s">
        <v>124</v>
      </c>
      <c r="I648" s="242" t="s">
        <v>836</v>
      </c>
      <c r="J648" s="170" t="s">
        <v>96</v>
      </c>
      <c r="K648" s="170" t="s">
        <v>345</v>
      </c>
      <c r="L648" s="170" t="s">
        <v>113</v>
      </c>
      <c r="M648" s="75"/>
      <c r="N648" s="75"/>
      <c r="O648" s="75"/>
    </row>
    <row r="649" spans="1:15">
      <c r="A649" s="457">
        <v>46108</v>
      </c>
      <c r="B649" s="242" t="s">
        <v>823</v>
      </c>
      <c r="C649" s="170" t="s">
        <v>337</v>
      </c>
      <c r="D649" s="242" t="s">
        <v>97</v>
      </c>
      <c r="E649" s="242">
        <v>500</v>
      </c>
      <c r="F649" s="454">
        <f t="shared" si="10"/>
        <v>0.93386376795353099</v>
      </c>
      <c r="G649" s="239">
        <v>535.41</v>
      </c>
      <c r="H649" s="242" t="s">
        <v>124</v>
      </c>
      <c r="I649" s="242" t="s">
        <v>836</v>
      </c>
      <c r="J649" s="170" t="s">
        <v>96</v>
      </c>
      <c r="K649" s="170" t="s">
        <v>345</v>
      </c>
      <c r="L649" s="170" t="s">
        <v>113</v>
      </c>
      <c r="M649" s="75"/>
      <c r="N649" s="75"/>
      <c r="O649" s="75"/>
    </row>
    <row r="650" spans="1:15">
      <c r="A650" s="457">
        <v>46108</v>
      </c>
      <c r="B650" s="242" t="s">
        <v>825</v>
      </c>
      <c r="C650" s="242" t="s">
        <v>402</v>
      </c>
      <c r="D650" s="242" t="s">
        <v>97</v>
      </c>
      <c r="E650" s="242">
        <v>7000</v>
      </c>
      <c r="F650" s="454">
        <f t="shared" si="10"/>
        <v>13.074092751349434</v>
      </c>
      <c r="G650" s="239">
        <v>535.41</v>
      </c>
      <c r="H650" s="242" t="s">
        <v>124</v>
      </c>
      <c r="I650" s="242" t="s">
        <v>852</v>
      </c>
      <c r="J650" s="170" t="s">
        <v>96</v>
      </c>
      <c r="K650" s="170" t="s">
        <v>345</v>
      </c>
      <c r="L650" s="170" t="s">
        <v>113</v>
      </c>
      <c r="M650" s="75"/>
      <c r="N650" s="75"/>
      <c r="O650" s="75"/>
    </row>
    <row r="651" spans="1:15">
      <c r="A651" s="457">
        <v>46108</v>
      </c>
      <c r="B651" s="242" t="s">
        <v>826</v>
      </c>
      <c r="C651" s="170" t="s">
        <v>337</v>
      </c>
      <c r="D651" s="242" t="s">
        <v>97</v>
      </c>
      <c r="E651" s="242">
        <v>500</v>
      </c>
      <c r="F651" s="454">
        <f t="shared" si="10"/>
        <v>0.93386376795353099</v>
      </c>
      <c r="G651" s="239">
        <v>535.41</v>
      </c>
      <c r="H651" s="242" t="s">
        <v>124</v>
      </c>
      <c r="I651" s="242" t="s">
        <v>836</v>
      </c>
      <c r="J651" s="170" t="s">
        <v>96</v>
      </c>
      <c r="K651" s="170" t="s">
        <v>345</v>
      </c>
      <c r="L651" s="170" t="s">
        <v>113</v>
      </c>
      <c r="M651" s="75"/>
      <c r="N651" s="75"/>
      <c r="O651" s="75"/>
    </row>
    <row r="652" spans="1:15">
      <c r="A652" s="457">
        <v>46108</v>
      </c>
      <c r="B652" s="242" t="s">
        <v>827</v>
      </c>
      <c r="C652" s="170" t="s">
        <v>337</v>
      </c>
      <c r="D652" s="242" t="s">
        <v>97</v>
      </c>
      <c r="E652" s="242">
        <v>500</v>
      </c>
      <c r="F652" s="454">
        <f t="shared" si="10"/>
        <v>0.93386376795353099</v>
      </c>
      <c r="G652" s="239">
        <v>535.41</v>
      </c>
      <c r="H652" s="242" t="s">
        <v>124</v>
      </c>
      <c r="I652" s="242" t="s">
        <v>836</v>
      </c>
      <c r="J652" s="170" t="s">
        <v>96</v>
      </c>
      <c r="K652" s="170" t="s">
        <v>345</v>
      </c>
      <c r="L652" s="170" t="s">
        <v>113</v>
      </c>
      <c r="M652" s="75"/>
      <c r="N652" s="75"/>
      <c r="O652" s="75"/>
    </row>
    <row r="653" spans="1:15">
      <c r="A653" s="457">
        <v>46108</v>
      </c>
      <c r="B653" s="242" t="s">
        <v>817</v>
      </c>
      <c r="C653" s="242" t="s">
        <v>818</v>
      </c>
      <c r="D653" s="242" t="s">
        <v>97</v>
      </c>
      <c r="E653" s="242">
        <v>1500</v>
      </c>
      <c r="F653" s="454">
        <f t="shared" si="10"/>
        <v>2.8015913038605929</v>
      </c>
      <c r="G653" s="239">
        <v>535.41</v>
      </c>
      <c r="H653" s="242" t="s">
        <v>124</v>
      </c>
      <c r="I653" s="242" t="s">
        <v>849</v>
      </c>
      <c r="J653" s="170" t="s">
        <v>96</v>
      </c>
      <c r="K653" s="170" t="s">
        <v>345</v>
      </c>
      <c r="L653" s="170" t="s">
        <v>113</v>
      </c>
      <c r="M653" s="75"/>
      <c r="N653" s="75"/>
      <c r="O653" s="75"/>
    </row>
    <row r="654" spans="1:15">
      <c r="A654" s="457">
        <v>46108</v>
      </c>
      <c r="B654" s="242" t="s">
        <v>828</v>
      </c>
      <c r="C654" s="170" t="s">
        <v>337</v>
      </c>
      <c r="D654" s="242" t="s">
        <v>97</v>
      </c>
      <c r="E654" s="242">
        <v>500</v>
      </c>
      <c r="F654" s="454">
        <f t="shared" si="10"/>
        <v>0.93386376795353099</v>
      </c>
      <c r="G654" s="239">
        <v>535.41</v>
      </c>
      <c r="H654" s="242" t="s">
        <v>124</v>
      </c>
      <c r="I654" s="242" t="s">
        <v>836</v>
      </c>
      <c r="J654" s="170" t="s">
        <v>96</v>
      </c>
      <c r="K654" s="170" t="s">
        <v>345</v>
      </c>
      <c r="L654" s="170" t="s">
        <v>113</v>
      </c>
      <c r="M654" s="75"/>
      <c r="N654" s="75"/>
      <c r="O654" s="75"/>
    </row>
    <row r="655" spans="1:15">
      <c r="A655" s="461">
        <v>46109</v>
      </c>
      <c r="B655" s="464" t="s">
        <v>400</v>
      </c>
      <c r="C655" s="170" t="s">
        <v>337</v>
      </c>
      <c r="D655" s="463" t="s">
        <v>97</v>
      </c>
      <c r="E655" s="464">
        <v>1000</v>
      </c>
      <c r="F655" s="454">
        <f t="shared" si="10"/>
        <v>1.867727535907062</v>
      </c>
      <c r="G655" s="239">
        <v>535.41</v>
      </c>
      <c r="H655" s="165" t="s">
        <v>128</v>
      </c>
      <c r="I655" s="464" t="s">
        <v>431</v>
      </c>
      <c r="J655" s="170" t="s">
        <v>96</v>
      </c>
      <c r="K655" s="170" t="s">
        <v>345</v>
      </c>
      <c r="L655" s="170" t="s">
        <v>113</v>
      </c>
      <c r="M655" s="75"/>
      <c r="N655" s="75"/>
      <c r="O655" s="75"/>
    </row>
    <row r="656" spans="1:15">
      <c r="A656" s="461">
        <v>46109</v>
      </c>
      <c r="B656" s="464" t="s">
        <v>401</v>
      </c>
      <c r="C656" s="242" t="s">
        <v>402</v>
      </c>
      <c r="D656" s="463" t="s">
        <v>97</v>
      </c>
      <c r="E656" s="464">
        <v>8000</v>
      </c>
      <c r="F656" s="454">
        <f t="shared" si="10"/>
        <v>14.941820287256496</v>
      </c>
      <c r="G656" s="239">
        <v>535.41</v>
      </c>
      <c r="H656" s="165" t="s">
        <v>128</v>
      </c>
      <c r="I656" s="464" t="s">
        <v>432</v>
      </c>
      <c r="J656" s="170" t="s">
        <v>96</v>
      </c>
      <c r="K656" s="170" t="s">
        <v>345</v>
      </c>
      <c r="L656" s="170" t="s">
        <v>113</v>
      </c>
      <c r="M656" s="75"/>
      <c r="N656" s="75"/>
      <c r="O656" s="75"/>
    </row>
    <row r="657" spans="1:15">
      <c r="A657" s="461">
        <v>46109</v>
      </c>
      <c r="B657" s="464" t="s">
        <v>403</v>
      </c>
      <c r="C657" s="170" t="s">
        <v>337</v>
      </c>
      <c r="D657" s="463" t="s">
        <v>97</v>
      </c>
      <c r="E657" s="464">
        <v>1000</v>
      </c>
      <c r="F657" s="454">
        <f t="shared" si="10"/>
        <v>1.867727535907062</v>
      </c>
      <c r="G657" s="239">
        <v>535.41</v>
      </c>
      <c r="H657" s="165" t="s">
        <v>128</v>
      </c>
      <c r="I657" s="464" t="s">
        <v>431</v>
      </c>
      <c r="J657" s="170" t="s">
        <v>96</v>
      </c>
      <c r="K657" s="170" t="s">
        <v>345</v>
      </c>
      <c r="L657" s="170" t="s">
        <v>113</v>
      </c>
      <c r="M657" s="75"/>
      <c r="N657" s="75"/>
      <c r="O657" s="75"/>
    </row>
    <row r="658" spans="1:15">
      <c r="A658" s="428">
        <v>46109</v>
      </c>
      <c r="B658" s="429" t="s">
        <v>1028</v>
      </c>
      <c r="C658" s="242" t="s">
        <v>402</v>
      </c>
      <c r="D658" s="429" t="s">
        <v>259</v>
      </c>
      <c r="E658" s="429">
        <v>3500</v>
      </c>
      <c r="F658" s="454">
        <f t="shared" si="10"/>
        <v>6.5370463756747172</v>
      </c>
      <c r="G658" s="239">
        <v>535.41</v>
      </c>
      <c r="H658" s="429" t="s">
        <v>123</v>
      </c>
      <c r="I658" s="429" t="s">
        <v>576</v>
      </c>
      <c r="J658" s="170" t="s">
        <v>96</v>
      </c>
      <c r="K658" s="170" t="s">
        <v>345</v>
      </c>
      <c r="L658" s="170" t="s">
        <v>113</v>
      </c>
      <c r="M658" s="75"/>
      <c r="N658" s="75"/>
      <c r="O658" s="75"/>
    </row>
    <row r="659" spans="1:15">
      <c r="A659" s="428">
        <v>46109</v>
      </c>
      <c r="B659" s="429" t="s">
        <v>1043</v>
      </c>
      <c r="C659" s="242" t="s">
        <v>402</v>
      </c>
      <c r="D659" s="429" t="s">
        <v>259</v>
      </c>
      <c r="E659" s="429">
        <v>3500</v>
      </c>
      <c r="F659" s="454">
        <f t="shared" si="10"/>
        <v>6.5370463756747172</v>
      </c>
      <c r="G659" s="239">
        <v>535.41</v>
      </c>
      <c r="H659" s="429" t="s">
        <v>123</v>
      </c>
      <c r="I659" s="429" t="s">
        <v>577</v>
      </c>
      <c r="J659" s="170" t="s">
        <v>96</v>
      </c>
      <c r="K659" s="170" t="s">
        <v>345</v>
      </c>
      <c r="L659" s="170" t="s">
        <v>113</v>
      </c>
      <c r="M659" s="75"/>
      <c r="N659" s="75"/>
      <c r="O659" s="75"/>
    </row>
    <row r="660" spans="1:15">
      <c r="A660" s="428">
        <v>46109</v>
      </c>
      <c r="B660" s="429" t="s">
        <v>540</v>
      </c>
      <c r="C660" s="429" t="s">
        <v>541</v>
      </c>
      <c r="D660" s="429" t="s">
        <v>259</v>
      </c>
      <c r="E660" s="429">
        <v>2000</v>
      </c>
      <c r="F660" s="454">
        <f t="shared" si="10"/>
        <v>3.735455071814124</v>
      </c>
      <c r="G660" s="239">
        <v>535.41</v>
      </c>
      <c r="H660" s="429" t="s">
        <v>123</v>
      </c>
      <c r="I660" s="429" t="s">
        <v>551</v>
      </c>
      <c r="J660" s="170" t="s">
        <v>96</v>
      </c>
      <c r="K660" s="170" t="s">
        <v>345</v>
      </c>
      <c r="L660" s="170" t="s">
        <v>113</v>
      </c>
      <c r="M660" s="75"/>
      <c r="N660" s="75"/>
      <c r="O660" s="75"/>
    </row>
    <row r="661" spans="1:15">
      <c r="A661" s="428">
        <v>46109</v>
      </c>
      <c r="B661" s="429" t="s">
        <v>1053</v>
      </c>
      <c r="C661" s="170" t="s">
        <v>337</v>
      </c>
      <c r="D661" s="429" t="s">
        <v>259</v>
      </c>
      <c r="E661" s="429">
        <v>500</v>
      </c>
      <c r="F661" s="454">
        <f t="shared" si="10"/>
        <v>0.93386376795353099</v>
      </c>
      <c r="G661" s="239">
        <v>535.41</v>
      </c>
      <c r="H661" s="429" t="s">
        <v>123</v>
      </c>
      <c r="I661" s="429" t="s">
        <v>550</v>
      </c>
      <c r="J661" s="170" t="s">
        <v>96</v>
      </c>
      <c r="K661" s="170" t="s">
        <v>345</v>
      </c>
      <c r="L661" s="170" t="s">
        <v>113</v>
      </c>
      <c r="M661" s="75"/>
      <c r="N661" s="75"/>
      <c r="O661" s="75"/>
    </row>
    <row r="662" spans="1:15">
      <c r="A662" s="428">
        <v>46109</v>
      </c>
      <c r="B662" s="429" t="s">
        <v>1053</v>
      </c>
      <c r="C662" s="170" t="s">
        <v>337</v>
      </c>
      <c r="D662" s="429" t="s">
        <v>259</v>
      </c>
      <c r="E662" s="429">
        <v>500</v>
      </c>
      <c r="F662" s="454">
        <f t="shared" si="10"/>
        <v>0.93386376795353099</v>
      </c>
      <c r="G662" s="239">
        <v>535.41</v>
      </c>
      <c r="H662" s="429" t="s">
        <v>123</v>
      </c>
      <c r="I662" s="429" t="s">
        <v>550</v>
      </c>
      <c r="J662" s="170" t="s">
        <v>96</v>
      </c>
      <c r="K662" s="170" t="s">
        <v>345</v>
      </c>
      <c r="L662" s="170" t="s">
        <v>113</v>
      </c>
      <c r="M662" s="75"/>
      <c r="N662" s="75"/>
      <c r="O662" s="75"/>
    </row>
    <row r="663" spans="1:15">
      <c r="A663" s="428">
        <v>46109</v>
      </c>
      <c r="B663" s="429" t="s">
        <v>1052</v>
      </c>
      <c r="C663" s="170" t="s">
        <v>337</v>
      </c>
      <c r="D663" s="429" t="s">
        <v>259</v>
      </c>
      <c r="E663" s="429">
        <v>500</v>
      </c>
      <c r="F663" s="454">
        <f t="shared" si="10"/>
        <v>0.93386376795353099</v>
      </c>
      <c r="G663" s="239">
        <v>535.41</v>
      </c>
      <c r="H663" s="429" t="s">
        <v>123</v>
      </c>
      <c r="I663" s="429" t="s">
        <v>550</v>
      </c>
      <c r="J663" s="170" t="s">
        <v>96</v>
      </c>
      <c r="K663" s="170" t="s">
        <v>345</v>
      </c>
      <c r="L663" s="170" t="s">
        <v>113</v>
      </c>
      <c r="M663" s="75"/>
      <c r="N663" s="75"/>
      <c r="O663" s="75"/>
    </row>
    <row r="664" spans="1:15">
      <c r="A664" s="457">
        <v>46109</v>
      </c>
      <c r="B664" s="242" t="s">
        <v>1027</v>
      </c>
      <c r="C664" s="242" t="s">
        <v>402</v>
      </c>
      <c r="D664" s="242" t="s">
        <v>259</v>
      </c>
      <c r="E664" s="242">
        <v>4000</v>
      </c>
      <c r="F664" s="454">
        <f t="shared" si="10"/>
        <v>7.4709101436282479</v>
      </c>
      <c r="G664" s="239">
        <v>535.41</v>
      </c>
      <c r="H664" s="242" t="s">
        <v>122</v>
      </c>
      <c r="I664" s="242" t="s">
        <v>636</v>
      </c>
      <c r="J664" s="170" t="s">
        <v>96</v>
      </c>
      <c r="K664" s="170" t="s">
        <v>345</v>
      </c>
      <c r="L664" s="170" t="s">
        <v>113</v>
      </c>
      <c r="M664" s="75"/>
      <c r="N664" s="75"/>
      <c r="O664" s="75"/>
    </row>
    <row r="665" spans="1:15">
      <c r="A665" s="457">
        <v>46109</v>
      </c>
      <c r="B665" s="242" t="s">
        <v>1027</v>
      </c>
      <c r="C665" s="242" t="s">
        <v>402</v>
      </c>
      <c r="D665" s="242" t="s">
        <v>259</v>
      </c>
      <c r="E665" s="242">
        <v>4000</v>
      </c>
      <c r="F665" s="454">
        <f t="shared" si="10"/>
        <v>7.4709101436282479</v>
      </c>
      <c r="G665" s="239">
        <v>535.41</v>
      </c>
      <c r="H665" s="242" t="s">
        <v>122</v>
      </c>
      <c r="I665" s="242" t="s">
        <v>637</v>
      </c>
      <c r="J665" s="170" t="s">
        <v>96</v>
      </c>
      <c r="K665" s="170" t="s">
        <v>345</v>
      </c>
      <c r="L665" s="170" t="s">
        <v>113</v>
      </c>
      <c r="M665" s="75"/>
      <c r="N665" s="75"/>
      <c r="O665" s="75"/>
    </row>
    <row r="666" spans="1:15">
      <c r="A666" s="453">
        <v>46109</v>
      </c>
      <c r="B666" s="170" t="s">
        <v>1055</v>
      </c>
      <c r="C666" s="170" t="s">
        <v>542</v>
      </c>
      <c r="D666" s="170" t="s">
        <v>259</v>
      </c>
      <c r="E666" s="170">
        <v>50000</v>
      </c>
      <c r="F666" s="454">
        <f t="shared" si="10"/>
        <v>93.386376795353101</v>
      </c>
      <c r="G666" s="239">
        <v>535.41</v>
      </c>
      <c r="H666" s="170" t="s">
        <v>131</v>
      </c>
      <c r="I666" s="170" t="s">
        <v>686</v>
      </c>
      <c r="J666" s="170" t="s">
        <v>96</v>
      </c>
      <c r="K666" s="170" t="s">
        <v>345</v>
      </c>
      <c r="L666" s="170" t="s">
        <v>113</v>
      </c>
      <c r="M666" s="75"/>
      <c r="N666" s="75"/>
      <c r="O666" s="75"/>
    </row>
    <row r="667" spans="1:15">
      <c r="A667" s="457">
        <v>46109</v>
      </c>
      <c r="B667" s="242" t="s">
        <v>1027</v>
      </c>
      <c r="C667" s="170" t="s">
        <v>337</v>
      </c>
      <c r="D667" s="242" t="s">
        <v>259</v>
      </c>
      <c r="E667" s="242">
        <v>500</v>
      </c>
      <c r="F667" s="454">
        <f t="shared" si="10"/>
        <v>0.93386376795353099</v>
      </c>
      <c r="G667" s="239">
        <v>535.41</v>
      </c>
      <c r="H667" s="242" t="s">
        <v>131</v>
      </c>
      <c r="I667" s="242" t="s">
        <v>653</v>
      </c>
      <c r="J667" s="170" t="s">
        <v>96</v>
      </c>
      <c r="K667" s="170" t="s">
        <v>345</v>
      </c>
      <c r="L667" s="170" t="s">
        <v>113</v>
      </c>
      <c r="M667" s="75"/>
      <c r="N667" s="75"/>
      <c r="O667" s="75"/>
    </row>
    <row r="668" spans="1:15">
      <c r="A668" s="453">
        <v>46109</v>
      </c>
      <c r="B668" s="170" t="s">
        <v>1028</v>
      </c>
      <c r="C668" s="242" t="s">
        <v>402</v>
      </c>
      <c r="D668" s="170" t="s">
        <v>259</v>
      </c>
      <c r="E668" s="170">
        <v>9000</v>
      </c>
      <c r="F668" s="454">
        <f t="shared" si="10"/>
        <v>16.809547823163559</v>
      </c>
      <c r="G668" s="239">
        <v>535.41</v>
      </c>
      <c r="H668" s="170" t="s">
        <v>131</v>
      </c>
      <c r="I668" s="170" t="s">
        <v>687</v>
      </c>
      <c r="J668" s="170" t="s">
        <v>96</v>
      </c>
      <c r="K668" s="170" t="s">
        <v>345</v>
      </c>
      <c r="L668" s="170" t="s">
        <v>113</v>
      </c>
      <c r="M668" s="75"/>
      <c r="N668" s="75"/>
      <c r="O668" s="75"/>
    </row>
    <row r="669" spans="1:15">
      <c r="A669" s="457">
        <v>46109</v>
      </c>
      <c r="B669" s="242" t="s">
        <v>1027</v>
      </c>
      <c r="C669" s="170" t="s">
        <v>337</v>
      </c>
      <c r="D669" s="242" t="s">
        <v>259</v>
      </c>
      <c r="E669" s="242">
        <v>350</v>
      </c>
      <c r="F669" s="454">
        <f t="shared" si="10"/>
        <v>0.65370463756747166</v>
      </c>
      <c r="G669" s="239">
        <v>535.41</v>
      </c>
      <c r="H669" s="242" t="s">
        <v>131</v>
      </c>
      <c r="I669" s="242" t="s">
        <v>653</v>
      </c>
      <c r="J669" s="170" t="s">
        <v>96</v>
      </c>
      <c r="K669" s="170" t="s">
        <v>345</v>
      </c>
      <c r="L669" s="170" t="s">
        <v>113</v>
      </c>
      <c r="M669" s="75"/>
      <c r="N669" s="75"/>
      <c r="O669" s="75"/>
    </row>
    <row r="670" spans="1:15">
      <c r="A670" s="457">
        <v>46109</v>
      </c>
      <c r="B670" s="242" t="s">
        <v>1027</v>
      </c>
      <c r="C670" s="170" t="s">
        <v>337</v>
      </c>
      <c r="D670" s="242" t="s">
        <v>259</v>
      </c>
      <c r="E670" s="242">
        <v>300</v>
      </c>
      <c r="F670" s="454">
        <f t="shared" si="10"/>
        <v>0.56031826077211855</v>
      </c>
      <c r="G670" s="239">
        <v>535.41</v>
      </c>
      <c r="H670" s="242" t="s">
        <v>131</v>
      </c>
      <c r="I670" s="242" t="s">
        <v>653</v>
      </c>
      <c r="J670" s="170" t="s">
        <v>96</v>
      </c>
      <c r="K670" s="170" t="s">
        <v>345</v>
      </c>
      <c r="L670" s="170" t="s">
        <v>113</v>
      </c>
      <c r="M670" s="75"/>
      <c r="N670" s="75"/>
      <c r="O670" s="75"/>
    </row>
    <row r="671" spans="1:15">
      <c r="A671" s="453">
        <v>46109</v>
      </c>
      <c r="B671" s="170" t="s">
        <v>1043</v>
      </c>
      <c r="C671" s="242" t="s">
        <v>402</v>
      </c>
      <c r="D671" s="170" t="s">
        <v>259</v>
      </c>
      <c r="E671" s="170">
        <v>4000</v>
      </c>
      <c r="F671" s="454">
        <f t="shared" si="10"/>
        <v>7.4709101436282479</v>
      </c>
      <c r="G671" s="239">
        <v>535.41</v>
      </c>
      <c r="H671" s="170" t="s">
        <v>131</v>
      </c>
      <c r="I671" s="170" t="s">
        <v>688</v>
      </c>
      <c r="J671" s="170" t="s">
        <v>96</v>
      </c>
      <c r="K671" s="170" t="s">
        <v>345</v>
      </c>
      <c r="L671" s="170" t="s">
        <v>113</v>
      </c>
      <c r="M671" s="75"/>
      <c r="N671" s="75"/>
      <c r="O671" s="75"/>
    </row>
    <row r="672" spans="1:15">
      <c r="A672" s="453">
        <v>46109</v>
      </c>
      <c r="B672" s="170" t="s">
        <v>1043</v>
      </c>
      <c r="C672" s="242" t="s">
        <v>402</v>
      </c>
      <c r="D672" s="170" t="s">
        <v>259</v>
      </c>
      <c r="E672" s="170">
        <v>7000</v>
      </c>
      <c r="F672" s="454">
        <f t="shared" si="10"/>
        <v>13.074092751349434</v>
      </c>
      <c r="G672" s="239">
        <v>535.41</v>
      </c>
      <c r="H672" s="170" t="s">
        <v>131</v>
      </c>
      <c r="I672" s="170" t="s">
        <v>689</v>
      </c>
      <c r="J672" s="170" t="s">
        <v>96</v>
      </c>
      <c r="K672" s="170" t="s">
        <v>345</v>
      </c>
      <c r="L672" s="170" t="s">
        <v>113</v>
      </c>
      <c r="M672" s="75"/>
      <c r="N672" s="75"/>
      <c r="O672" s="75"/>
    </row>
    <row r="673" spans="1:15">
      <c r="A673" s="457">
        <v>46109</v>
      </c>
      <c r="B673" s="242" t="s">
        <v>1025</v>
      </c>
      <c r="C673" s="170" t="s">
        <v>337</v>
      </c>
      <c r="D673" s="242" t="s">
        <v>259</v>
      </c>
      <c r="E673" s="242">
        <v>2500</v>
      </c>
      <c r="F673" s="454">
        <f t="shared" si="10"/>
        <v>4.669318839767655</v>
      </c>
      <c r="G673" s="239">
        <v>535.41</v>
      </c>
      <c r="H673" s="242" t="s">
        <v>131</v>
      </c>
      <c r="I673" s="242" t="s">
        <v>653</v>
      </c>
      <c r="J673" s="170" t="s">
        <v>96</v>
      </c>
      <c r="K673" s="170" t="s">
        <v>345</v>
      </c>
      <c r="L673" s="170" t="s">
        <v>113</v>
      </c>
      <c r="M673" s="75"/>
      <c r="N673" s="75"/>
      <c r="O673" s="75"/>
    </row>
    <row r="674" spans="1:15">
      <c r="A674" s="468">
        <v>46109</v>
      </c>
      <c r="B674" s="170" t="s">
        <v>715</v>
      </c>
      <c r="C674" s="170" t="s">
        <v>337</v>
      </c>
      <c r="D674" s="456" t="s">
        <v>97</v>
      </c>
      <c r="E674" s="367">
        <v>500</v>
      </c>
      <c r="F674" s="454">
        <f t="shared" si="10"/>
        <v>0.93386376795353099</v>
      </c>
      <c r="G674" s="239">
        <v>535.41</v>
      </c>
      <c r="H674" s="456" t="s">
        <v>134</v>
      </c>
      <c r="I674" s="170" t="s">
        <v>730</v>
      </c>
      <c r="J674" s="170" t="s">
        <v>96</v>
      </c>
      <c r="K674" s="170" t="s">
        <v>345</v>
      </c>
      <c r="L674" s="170" t="s">
        <v>113</v>
      </c>
      <c r="M674" s="75"/>
      <c r="N674" s="75"/>
      <c r="O674" s="75"/>
    </row>
    <row r="675" spans="1:15">
      <c r="A675" s="468">
        <v>46109</v>
      </c>
      <c r="B675" s="170" t="s">
        <v>716</v>
      </c>
      <c r="C675" s="170" t="s">
        <v>337</v>
      </c>
      <c r="D675" s="456" t="s">
        <v>97</v>
      </c>
      <c r="E675" s="367">
        <v>500</v>
      </c>
      <c r="F675" s="454">
        <f t="shared" si="10"/>
        <v>0.93386376795353099</v>
      </c>
      <c r="G675" s="239">
        <v>535.41</v>
      </c>
      <c r="H675" s="456" t="s">
        <v>134</v>
      </c>
      <c r="I675" s="170" t="s">
        <v>730</v>
      </c>
      <c r="J675" s="170" t="s">
        <v>96</v>
      </c>
      <c r="K675" s="170" t="s">
        <v>345</v>
      </c>
      <c r="L675" s="170" t="s">
        <v>113</v>
      </c>
      <c r="M675" s="75"/>
      <c r="N675" s="75"/>
      <c r="O675" s="75"/>
    </row>
    <row r="676" spans="1:15">
      <c r="A676" s="468">
        <v>46109</v>
      </c>
      <c r="B676" s="170" t="s">
        <v>717</v>
      </c>
      <c r="C676" s="170" t="s">
        <v>337</v>
      </c>
      <c r="D676" s="456" t="s">
        <v>97</v>
      </c>
      <c r="E676" s="367">
        <v>500</v>
      </c>
      <c r="F676" s="454">
        <f t="shared" si="10"/>
        <v>0.93386376795353099</v>
      </c>
      <c r="G676" s="239">
        <v>535.41</v>
      </c>
      <c r="H676" s="456" t="s">
        <v>134</v>
      </c>
      <c r="I676" s="170" t="s">
        <v>730</v>
      </c>
      <c r="J676" s="170" t="s">
        <v>96</v>
      </c>
      <c r="K676" s="170" t="s">
        <v>345</v>
      </c>
      <c r="L676" s="170" t="s">
        <v>113</v>
      </c>
      <c r="M676" s="75"/>
      <c r="N676" s="75"/>
      <c r="O676" s="75"/>
    </row>
    <row r="677" spans="1:15">
      <c r="A677" s="468">
        <v>46109</v>
      </c>
      <c r="B677" s="170" t="s">
        <v>718</v>
      </c>
      <c r="C677" s="242" t="s">
        <v>402</v>
      </c>
      <c r="D677" s="456" t="s">
        <v>97</v>
      </c>
      <c r="E677" s="367">
        <v>9000</v>
      </c>
      <c r="F677" s="454">
        <f t="shared" si="10"/>
        <v>16.809547823163559</v>
      </c>
      <c r="G677" s="239">
        <v>535.41</v>
      </c>
      <c r="H677" s="456" t="s">
        <v>134</v>
      </c>
      <c r="I677" s="170" t="s">
        <v>739</v>
      </c>
      <c r="J677" s="170" t="s">
        <v>96</v>
      </c>
      <c r="K677" s="170" t="s">
        <v>345</v>
      </c>
      <c r="L677" s="170" t="s">
        <v>113</v>
      </c>
      <c r="M677" s="75"/>
      <c r="N677" s="75"/>
      <c r="O677" s="75"/>
    </row>
    <row r="678" spans="1:15">
      <c r="A678" s="468">
        <v>46109</v>
      </c>
      <c r="B678" s="170" t="s">
        <v>708</v>
      </c>
      <c r="C678" s="170" t="s">
        <v>337</v>
      </c>
      <c r="D678" s="456" t="s">
        <v>97</v>
      </c>
      <c r="E678" s="367">
        <v>500</v>
      </c>
      <c r="F678" s="454">
        <f t="shared" si="10"/>
        <v>0.93386376795353099</v>
      </c>
      <c r="G678" s="239">
        <v>535.41</v>
      </c>
      <c r="H678" s="456" t="s">
        <v>134</v>
      </c>
      <c r="I678" s="170" t="s">
        <v>730</v>
      </c>
      <c r="J678" s="170" t="s">
        <v>96</v>
      </c>
      <c r="K678" s="170" t="s">
        <v>345</v>
      </c>
      <c r="L678" s="170" t="s">
        <v>113</v>
      </c>
      <c r="M678" s="75"/>
      <c r="N678" s="75"/>
      <c r="O678" s="75"/>
    </row>
    <row r="679" spans="1:15">
      <c r="A679" s="457">
        <v>46109</v>
      </c>
      <c r="B679" s="242" t="s">
        <v>829</v>
      </c>
      <c r="C679" s="242" t="s">
        <v>542</v>
      </c>
      <c r="D679" s="242" t="s">
        <v>97</v>
      </c>
      <c r="E679" s="242">
        <v>20000</v>
      </c>
      <c r="F679" s="454">
        <f t="shared" si="10"/>
        <v>37.35455071814124</v>
      </c>
      <c r="G679" s="239">
        <v>535.41</v>
      </c>
      <c r="H679" s="242" t="s">
        <v>124</v>
      </c>
      <c r="I679" s="242" t="s">
        <v>853</v>
      </c>
      <c r="J679" s="170" t="s">
        <v>96</v>
      </c>
      <c r="K679" s="170" t="s">
        <v>345</v>
      </c>
      <c r="L679" s="170" t="s">
        <v>113</v>
      </c>
      <c r="M679" s="75"/>
      <c r="N679" s="75"/>
      <c r="O679" s="75"/>
    </row>
    <row r="680" spans="1:15">
      <c r="A680" s="457">
        <v>46109</v>
      </c>
      <c r="B680" s="242" t="s">
        <v>830</v>
      </c>
      <c r="C680" s="170" t="s">
        <v>337</v>
      </c>
      <c r="D680" s="242" t="s">
        <v>97</v>
      </c>
      <c r="E680" s="242">
        <v>500</v>
      </c>
      <c r="F680" s="454">
        <f t="shared" si="10"/>
        <v>0.93386376795353099</v>
      </c>
      <c r="G680" s="239">
        <v>535.41</v>
      </c>
      <c r="H680" s="242" t="s">
        <v>124</v>
      </c>
      <c r="I680" s="242" t="s">
        <v>836</v>
      </c>
      <c r="J680" s="170" t="s">
        <v>96</v>
      </c>
      <c r="K680" s="170" t="s">
        <v>345</v>
      </c>
      <c r="L680" s="170" t="s">
        <v>113</v>
      </c>
      <c r="M680" s="75"/>
      <c r="N680" s="75"/>
      <c r="O680" s="75"/>
    </row>
    <row r="681" spans="1:15">
      <c r="A681" s="457">
        <v>46109</v>
      </c>
      <c r="B681" s="242" t="s">
        <v>831</v>
      </c>
      <c r="C681" s="170" t="s">
        <v>337</v>
      </c>
      <c r="D681" s="242" t="s">
        <v>97</v>
      </c>
      <c r="E681" s="242">
        <v>1500</v>
      </c>
      <c r="F681" s="454">
        <f t="shared" si="10"/>
        <v>2.8015913038605929</v>
      </c>
      <c r="G681" s="239">
        <v>535.41</v>
      </c>
      <c r="H681" s="242" t="s">
        <v>124</v>
      </c>
      <c r="I681" s="242" t="s">
        <v>836</v>
      </c>
      <c r="J681" s="170" t="s">
        <v>96</v>
      </c>
      <c r="K681" s="170" t="s">
        <v>345</v>
      </c>
      <c r="L681" s="170" t="s">
        <v>113</v>
      </c>
      <c r="M681" s="75"/>
      <c r="N681" s="75"/>
      <c r="O681" s="75"/>
    </row>
    <row r="682" spans="1:15">
      <c r="A682" s="461">
        <v>46110</v>
      </c>
      <c r="B682" s="464" t="s">
        <v>400</v>
      </c>
      <c r="C682" s="170" t="s">
        <v>337</v>
      </c>
      <c r="D682" s="463" t="s">
        <v>97</v>
      </c>
      <c r="E682" s="464">
        <v>1000</v>
      </c>
      <c r="F682" s="454">
        <f t="shared" si="10"/>
        <v>1.867727535907062</v>
      </c>
      <c r="G682" s="239">
        <v>535.41</v>
      </c>
      <c r="H682" s="165" t="s">
        <v>128</v>
      </c>
      <c r="I682" s="464" t="s">
        <v>431</v>
      </c>
      <c r="J682" s="170" t="s">
        <v>96</v>
      </c>
      <c r="K682" s="170" t="s">
        <v>345</v>
      </c>
      <c r="L682" s="170" t="s">
        <v>113</v>
      </c>
      <c r="M682" s="75"/>
      <c r="N682" s="75"/>
      <c r="O682" s="75"/>
    </row>
    <row r="683" spans="1:15">
      <c r="A683" s="461">
        <v>46110</v>
      </c>
      <c r="B683" s="464" t="s">
        <v>404</v>
      </c>
      <c r="C683" s="170" t="s">
        <v>337</v>
      </c>
      <c r="D683" s="463" t="s">
        <v>97</v>
      </c>
      <c r="E683" s="464">
        <v>300</v>
      </c>
      <c r="F683" s="454">
        <f t="shared" si="10"/>
        <v>0.56031826077211855</v>
      </c>
      <c r="G683" s="239">
        <v>535.41</v>
      </c>
      <c r="H683" s="165" t="s">
        <v>128</v>
      </c>
      <c r="I683" s="464" t="s">
        <v>431</v>
      </c>
      <c r="J683" s="170" t="s">
        <v>96</v>
      </c>
      <c r="K683" s="170" t="s">
        <v>345</v>
      </c>
      <c r="L683" s="170" t="s">
        <v>113</v>
      </c>
      <c r="M683" s="75"/>
      <c r="N683" s="75"/>
      <c r="O683" s="75"/>
    </row>
    <row r="684" spans="1:15">
      <c r="A684" s="461">
        <v>46110</v>
      </c>
      <c r="B684" s="464" t="s">
        <v>405</v>
      </c>
      <c r="C684" s="464" t="s">
        <v>406</v>
      </c>
      <c r="D684" s="463" t="s">
        <v>97</v>
      </c>
      <c r="E684" s="464">
        <v>20000</v>
      </c>
      <c r="F684" s="454">
        <f t="shared" si="10"/>
        <v>37.35455071814124</v>
      </c>
      <c r="G684" s="239">
        <v>535.41</v>
      </c>
      <c r="H684" s="165" t="s">
        <v>128</v>
      </c>
      <c r="I684" s="464" t="s">
        <v>433</v>
      </c>
      <c r="J684" s="170" t="s">
        <v>96</v>
      </c>
      <c r="K684" s="170" t="s">
        <v>345</v>
      </c>
      <c r="L684" s="170" t="s">
        <v>113</v>
      </c>
      <c r="M684" s="75"/>
      <c r="N684" s="75"/>
      <c r="O684" s="75"/>
    </row>
    <row r="685" spans="1:15">
      <c r="A685" s="428">
        <v>46110</v>
      </c>
      <c r="B685" s="429" t="s">
        <v>1043</v>
      </c>
      <c r="C685" s="242" t="s">
        <v>402</v>
      </c>
      <c r="D685" s="429" t="s">
        <v>259</v>
      </c>
      <c r="E685" s="429">
        <v>3000</v>
      </c>
      <c r="F685" s="454">
        <f t="shared" si="10"/>
        <v>5.6031826077211857</v>
      </c>
      <c r="G685" s="239">
        <v>535.41</v>
      </c>
      <c r="H685" s="429" t="s">
        <v>123</v>
      </c>
      <c r="I685" s="429" t="s">
        <v>578</v>
      </c>
      <c r="J685" s="170" t="s">
        <v>96</v>
      </c>
      <c r="K685" s="170" t="s">
        <v>345</v>
      </c>
      <c r="L685" s="170" t="s">
        <v>113</v>
      </c>
      <c r="M685" s="75"/>
      <c r="N685" s="75"/>
      <c r="O685" s="75"/>
    </row>
    <row r="686" spans="1:15">
      <c r="A686" s="428">
        <v>46110</v>
      </c>
      <c r="B686" s="429" t="s">
        <v>1028</v>
      </c>
      <c r="C686" s="242" t="s">
        <v>402</v>
      </c>
      <c r="D686" s="429" t="s">
        <v>259</v>
      </c>
      <c r="E686" s="429">
        <v>3000</v>
      </c>
      <c r="F686" s="454">
        <f t="shared" si="10"/>
        <v>5.6031826077211857</v>
      </c>
      <c r="G686" s="239">
        <v>535.41</v>
      </c>
      <c r="H686" s="429" t="s">
        <v>123</v>
      </c>
      <c r="I686" s="429" t="s">
        <v>579</v>
      </c>
      <c r="J686" s="170" t="s">
        <v>96</v>
      </c>
      <c r="K686" s="170" t="s">
        <v>345</v>
      </c>
      <c r="L686" s="170" t="s">
        <v>113</v>
      </c>
      <c r="M686" s="75"/>
      <c r="N686" s="75"/>
      <c r="O686" s="75"/>
    </row>
    <row r="687" spans="1:15">
      <c r="A687" s="428">
        <v>46110</v>
      </c>
      <c r="B687" s="429" t="s">
        <v>540</v>
      </c>
      <c r="C687" s="429" t="s">
        <v>541</v>
      </c>
      <c r="D687" s="429" t="s">
        <v>259</v>
      </c>
      <c r="E687" s="429">
        <v>2000</v>
      </c>
      <c r="F687" s="454">
        <f t="shared" si="10"/>
        <v>3.735455071814124</v>
      </c>
      <c r="G687" s="239">
        <v>535.41</v>
      </c>
      <c r="H687" s="429" t="s">
        <v>123</v>
      </c>
      <c r="I687" s="429" t="s">
        <v>551</v>
      </c>
      <c r="J687" s="170" t="s">
        <v>96</v>
      </c>
      <c r="K687" s="170" t="s">
        <v>345</v>
      </c>
      <c r="L687" s="170" t="s">
        <v>113</v>
      </c>
      <c r="M687" s="75"/>
      <c r="N687" s="75"/>
      <c r="O687" s="75"/>
    </row>
    <row r="688" spans="1:15">
      <c r="A688" s="428">
        <v>46110</v>
      </c>
      <c r="B688" s="429" t="s">
        <v>1053</v>
      </c>
      <c r="C688" s="170" t="s">
        <v>337</v>
      </c>
      <c r="D688" s="429" t="s">
        <v>259</v>
      </c>
      <c r="E688" s="429">
        <v>500</v>
      </c>
      <c r="F688" s="454">
        <f t="shared" si="10"/>
        <v>0.93386376795353099</v>
      </c>
      <c r="G688" s="239">
        <v>535.41</v>
      </c>
      <c r="H688" s="429" t="s">
        <v>123</v>
      </c>
      <c r="I688" s="429" t="s">
        <v>550</v>
      </c>
      <c r="J688" s="170" t="s">
        <v>96</v>
      </c>
      <c r="K688" s="170" t="s">
        <v>345</v>
      </c>
      <c r="L688" s="170" t="s">
        <v>113</v>
      </c>
      <c r="M688" s="75"/>
      <c r="N688" s="75"/>
      <c r="O688" s="75"/>
    </row>
    <row r="689" spans="1:15">
      <c r="A689" s="428">
        <v>46110</v>
      </c>
      <c r="B689" s="429" t="s">
        <v>1053</v>
      </c>
      <c r="C689" s="170" t="s">
        <v>337</v>
      </c>
      <c r="D689" s="429" t="s">
        <v>259</v>
      </c>
      <c r="E689" s="429">
        <v>500</v>
      </c>
      <c r="F689" s="454">
        <f t="shared" si="10"/>
        <v>0.93386376795353099</v>
      </c>
      <c r="G689" s="239">
        <v>535.41</v>
      </c>
      <c r="H689" s="429" t="s">
        <v>123</v>
      </c>
      <c r="I689" s="429" t="s">
        <v>550</v>
      </c>
      <c r="J689" s="170" t="s">
        <v>96</v>
      </c>
      <c r="K689" s="170" t="s">
        <v>345</v>
      </c>
      <c r="L689" s="170" t="s">
        <v>113</v>
      </c>
      <c r="M689" s="75"/>
      <c r="N689" s="75"/>
      <c r="O689" s="75"/>
    </row>
    <row r="690" spans="1:15">
      <c r="A690" s="428">
        <v>46110</v>
      </c>
      <c r="B690" s="429" t="s">
        <v>1072</v>
      </c>
      <c r="C690" s="170" t="s">
        <v>337</v>
      </c>
      <c r="D690" s="429" t="s">
        <v>259</v>
      </c>
      <c r="E690" s="429">
        <v>500</v>
      </c>
      <c r="F690" s="454">
        <f t="shared" si="10"/>
        <v>0.93386376795353099</v>
      </c>
      <c r="G690" s="239">
        <v>535.41</v>
      </c>
      <c r="H690" s="429" t="s">
        <v>123</v>
      </c>
      <c r="I690" s="429" t="s">
        <v>550</v>
      </c>
      <c r="J690" s="170" t="s">
        <v>96</v>
      </c>
      <c r="K690" s="170" t="s">
        <v>345</v>
      </c>
      <c r="L690" s="170" t="s">
        <v>113</v>
      </c>
      <c r="M690" s="75"/>
      <c r="N690" s="75"/>
      <c r="O690" s="75"/>
    </row>
    <row r="691" spans="1:15">
      <c r="A691" s="457">
        <v>46110</v>
      </c>
      <c r="B691" s="242" t="s">
        <v>1031</v>
      </c>
      <c r="C691" s="242" t="s">
        <v>402</v>
      </c>
      <c r="D691" s="242" t="s">
        <v>259</v>
      </c>
      <c r="E691" s="242">
        <v>4000</v>
      </c>
      <c r="F691" s="454">
        <f t="shared" si="10"/>
        <v>7.4709101436282479</v>
      </c>
      <c r="G691" s="239">
        <v>535.41</v>
      </c>
      <c r="H691" s="242" t="s">
        <v>122</v>
      </c>
      <c r="I691" s="242" t="s">
        <v>638</v>
      </c>
      <c r="J691" s="170" t="s">
        <v>96</v>
      </c>
      <c r="K691" s="170" t="s">
        <v>345</v>
      </c>
      <c r="L691" s="170" t="s">
        <v>113</v>
      </c>
      <c r="M691" s="75"/>
      <c r="N691" s="75"/>
      <c r="O691" s="75"/>
    </row>
    <row r="692" spans="1:15">
      <c r="A692" s="457">
        <v>46110</v>
      </c>
      <c r="B692" s="242" t="s">
        <v>1073</v>
      </c>
      <c r="C692" s="242" t="s">
        <v>587</v>
      </c>
      <c r="D692" s="242" t="s">
        <v>259</v>
      </c>
      <c r="E692" s="242">
        <v>3500</v>
      </c>
      <c r="F692" s="454">
        <f t="shared" si="10"/>
        <v>6.5370463756747172</v>
      </c>
      <c r="G692" s="239">
        <v>535.41</v>
      </c>
      <c r="H692" s="242" t="s">
        <v>122</v>
      </c>
      <c r="I692" s="242" t="s">
        <v>596</v>
      </c>
      <c r="J692" s="170" t="s">
        <v>96</v>
      </c>
      <c r="K692" s="170" t="s">
        <v>345</v>
      </c>
      <c r="L692" s="170" t="s">
        <v>113</v>
      </c>
      <c r="M692" s="75"/>
      <c r="N692" s="75"/>
      <c r="O692" s="75"/>
    </row>
    <row r="693" spans="1:15">
      <c r="A693" s="457">
        <v>46110</v>
      </c>
      <c r="B693" s="242" t="s">
        <v>1027</v>
      </c>
      <c r="C693" s="242" t="s">
        <v>402</v>
      </c>
      <c r="D693" s="242" t="s">
        <v>259</v>
      </c>
      <c r="E693" s="242">
        <v>4000</v>
      </c>
      <c r="F693" s="454">
        <f t="shared" si="10"/>
        <v>7.4709101436282479</v>
      </c>
      <c r="G693" s="239">
        <v>535.41</v>
      </c>
      <c r="H693" s="242" t="s">
        <v>122</v>
      </c>
      <c r="I693" s="242" t="s">
        <v>639</v>
      </c>
      <c r="J693" s="170" t="s">
        <v>96</v>
      </c>
      <c r="K693" s="170" t="s">
        <v>345</v>
      </c>
      <c r="L693" s="170" t="s">
        <v>113</v>
      </c>
      <c r="M693" s="75"/>
      <c r="N693" s="75"/>
      <c r="O693" s="75"/>
    </row>
    <row r="694" spans="1:15">
      <c r="A694" s="468">
        <v>46110</v>
      </c>
      <c r="B694" s="170" t="s">
        <v>719</v>
      </c>
      <c r="C694" s="170" t="s">
        <v>542</v>
      </c>
      <c r="D694" s="170" t="s">
        <v>97</v>
      </c>
      <c r="E694" s="367">
        <v>30000</v>
      </c>
      <c r="F694" s="454">
        <f t="shared" si="10"/>
        <v>56.031826077211861</v>
      </c>
      <c r="G694" s="239">
        <v>535.41</v>
      </c>
      <c r="H694" s="456" t="s">
        <v>134</v>
      </c>
      <c r="I694" s="170" t="s">
        <v>740</v>
      </c>
      <c r="J694" s="170" t="s">
        <v>96</v>
      </c>
      <c r="K694" s="170" t="s">
        <v>345</v>
      </c>
      <c r="L694" s="170" t="s">
        <v>113</v>
      </c>
      <c r="M694" s="75"/>
      <c r="N694" s="75"/>
      <c r="O694" s="75"/>
    </row>
    <row r="695" spans="1:15">
      <c r="A695" s="468">
        <v>46110</v>
      </c>
      <c r="B695" s="170" t="s">
        <v>720</v>
      </c>
      <c r="C695" s="170" t="s">
        <v>337</v>
      </c>
      <c r="D695" s="456" t="s">
        <v>97</v>
      </c>
      <c r="E695" s="367">
        <v>500</v>
      </c>
      <c r="F695" s="454">
        <f t="shared" si="10"/>
        <v>0.93386376795353099</v>
      </c>
      <c r="G695" s="239">
        <v>535.41</v>
      </c>
      <c r="H695" s="456" t="s">
        <v>134</v>
      </c>
      <c r="I695" s="170" t="s">
        <v>730</v>
      </c>
      <c r="J695" s="170" t="s">
        <v>96</v>
      </c>
      <c r="K695" s="170" t="s">
        <v>345</v>
      </c>
      <c r="L695" s="170" t="s">
        <v>113</v>
      </c>
      <c r="M695" s="75"/>
      <c r="N695" s="75"/>
      <c r="O695" s="75"/>
    </row>
    <row r="696" spans="1:15">
      <c r="A696" s="468">
        <v>46110</v>
      </c>
      <c r="B696" s="170" t="s">
        <v>721</v>
      </c>
      <c r="C696" s="170" t="s">
        <v>337</v>
      </c>
      <c r="D696" s="456" t="s">
        <v>97</v>
      </c>
      <c r="E696" s="367">
        <v>1500</v>
      </c>
      <c r="F696" s="454">
        <f t="shared" si="10"/>
        <v>2.8015913038605929</v>
      </c>
      <c r="G696" s="239">
        <v>535.41</v>
      </c>
      <c r="H696" s="456" t="s">
        <v>134</v>
      </c>
      <c r="I696" s="170" t="s">
        <v>730</v>
      </c>
      <c r="J696" s="170" t="s">
        <v>96</v>
      </c>
      <c r="K696" s="170" t="s">
        <v>345</v>
      </c>
      <c r="L696" s="170" t="s">
        <v>113</v>
      </c>
      <c r="M696" s="75"/>
      <c r="N696" s="75"/>
      <c r="O696" s="75"/>
    </row>
    <row r="697" spans="1:15">
      <c r="A697" s="457">
        <v>46111</v>
      </c>
      <c r="B697" s="242" t="s">
        <v>186</v>
      </c>
      <c r="C697" s="170" t="s">
        <v>337</v>
      </c>
      <c r="D697" s="458" t="s">
        <v>99</v>
      </c>
      <c r="E697" s="242">
        <v>1000</v>
      </c>
      <c r="F697" s="454">
        <f t="shared" si="10"/>
        <v>1.9254803020356539</v>
      </c>
      <c r="G697" s="239">
        <v>519.35093749999999</v>
      </c>
      <c r="H697" s="459" t="s">
        <v>111</v>
      </c>
      <c r="I697" s="170" t="s">
        <v>380</v>
      </c>
      <c r="J697" s="170" t="s">
        <v>96</v>
      </c>
      <c r="K697" s="170" t="s">
        <v>345</v>
      </c>
      <c r="L697" s="170" t="s">
        <v>113</v>
      </c>
      <c r="M697" s="364"/>
      <c r="N697" s="364"/>
      <c r="O697" s="75"/>
    </row>
    <row r="698" spans="1:15">
      <c r="A698" s="457">
        <v>46111</v>
      </c>
      <c r="B698" s="242" t="s">
        <v>187</v>
      </c>
      <c r="C698" s="170" t="s">
        <v>337</v>
      </c>
      <c r="D698" s="458" t="s">
        <v>99</v>
      </c>
      <c r="E698" s="242">
        <v>1000</v>
      </c>
      <c r="F698" s="454">
        <f t="shared" si="10"/>
        <v>1.8771635173931283</v>
      </c>
      <c r="G698" s="239">
        <v>532.71864210781655</v>
      </c>
      <c r="H698" s="459" t="s">
        <v>111</v>
      </c>
      <c r="I698" s="170" t="s">
        <v>380</v>
      </c>
      <c r="J698" s="170" t="s">
        <v>96</v>
      </c>
      <c r="K698" s="170" t="s">
        <v>345</v>
      </c>
      <c r="L698" s="170" t="s">
        <v>113</v>
      </c>
      <c r="M698" s="364"/>
      <c r="N698" s="364"/>
      <c r="O698" s="75"/>
    </row>
    <row r="699" spans="1:15">
      <c r="A699" s="461">
        <v>46111</v>
      </c>
      <c r="B699" s="464" t="s">
        <v>407</v>
      </c>
      <c r="C699" s="170" t="s">
        <v>337</v>
      </c>
      <c r="D699" s="463" t="s">
        <v>97</v>
      </c>
      <c r="E699" s="464">
        <v>500</v>
      </c>
      <c r="F699" s="454">
        <f t="shared" si="10"/>
        <v>0.93386376795353099</v>
      </c>
      <c r="G699" s="239">
        <v>535.41</v>
      </c>
      <c r="H699" s="165" t="s">
        <v>128</v>
      </c>
      <c r="I699" s="464" t="s">
        <v>431</v>
      </c>
      <c r="J699" s="170" t="s">
        <v>96</v>
      </c>
      <c r="K699" s="170" t="s">
        <v>345</v>
      </c>
      <c r="L699" s="170" t="s">
        <v>113</v>
      </c>
      <c r="M699" s="75"/>
      <c r="N699" s="75"/>
      <c r="O699" s="75"/>
    </row>
    <row r="700" spans="1:15">
      <c r="A700" s="461">
        <v>46111</v>
      </c>
      <c r="B700" s="464" t="s">
        <v>408</v>
      </c>
      <c r="C700" s="170" t="s">
        <v>337</v>
      </c>
      <c r="D700" s="463" t="s">
        <v>97</v>
      </c>
      <c r="E700" s="464">
        <v>500</v>
      </c>
      <c r="F700" s="454">
        <f t="shared" si="10"/>
        <v>0.93386376795353099</v>
      </c>
      <c r="G700" s="239">
        <v>535.41</v>
      </c>
      <c r="H700" s="165" t="s">
        <v>128</v>
      </c>
      <c r="I700" s="464" t="s">
        <v>431</v>
      </c>
      <c r="J700" s="170" t="s">
        <v>96</v>
      </c>
      <c r="K700" s="170" t="s">
        <v>345</v>
      </c>
      <c r="L700" s="170" t="s">
        <v>113</v>
      </c>
      <c r="M700" s="75"/>
      <c r="N700" s="75"/>
      <c r="O700" s="75"/>
    </row>
    <row r="701" spans="1:15">
      <c r="A701" s="461">
        <v>46111</v>
      </c>
      <c r="B701" s="464" t="s">
        <v>409</v>
      </c>
      <c r="C701" s="242" t="s">
        <v>402</v>
      </c>
      <c r="D701" s="463" t="s">
        <v>97</v>
      </c>
      <c r="E701" s="464">
        <v>5000</v>
      </c>
      <c r="F701" s="454">
        <f t="shared" si="10"/>
        <v>9.3386376795353101</v>
      </c>
      <c r="G701" s="239">
        <v>535.41</v>
      </c>
      <c r="H701" s="165" t="s">
        <v>128</v>
      </c>
      <c r="I701" s="464" t="s">
        <v>434</v>
      </c>
      <c r="J701" s="170" t="s">
        <v>96</v>
      </c>
      <c r="K701" s="170" t="s">
        <v>345</v>
      </c>
      <c r="L701" s="170" t="s">
        <v>113</v>
      </c>
      <c r="M701" s="75"/>
      <c r="N701" s="75"/>
      <c r="O701" s="75"/>
    </row>
    <row r="702" spans="1:15">
      <c r="A702" s="461">
        <v>46111</v>
      </c>
      <c r="B702" s="464" t="s">
        <v>410</v>
      </c>
      <c r="C702" s="170" t="s">
        <v>337</v>
      </c>
      <c r="D702" s="463" t="s">
        <v>97</v>
      </c>
      <c r="E702" s="464">
        <v>300</v>
      </c>
      <c r="F702" s="454">
        <f t="shared" si="10"/>
        <v>0.56031826077211855</v>
      </c>
      <c r="G702" s="239">
        <v>535.41</v>
      </c>
      <c r="H702" s="165" t="s">
        <v>128</v>
      </c>
      <c r="I702" s="464" t="s">
        <v>431</v>
      </c>
      <c r="J702" s="170" t="s">
        <v>96</v>
      </c>
      <c r="K702" s="170" t="s">
        <v>345</v>
      </c>
      <c r="L702" s="170" t="s">
        <v>113</v>
      </c>
      <c r="M702" s="75"/>
      <c r="N702" s="75"/>
      <c r="O702" s="75"/>
    </row>
    <row r="703" spans="1:15">
      <c r="A703" s="461">
        <v>46111</v>
      </c>
      <c r="B703" s="464" t="s">
        <v>411</v>
      </c>
      <c r="C703" s="170" t="s">
        <v>337</v>
      </c>
      <c r="D703" s="463" t="s">
        <v>97</v>
      </c>
      <c r="E703" s="464">
        <v>300</v>
      </c>
      <c r="F703" s="454">
        <f t="shared" si="10"/>
        <v>0.56031826077211855</v>
      </c>
      <c r="G703" s="239">
        <v>535.41</v>
      </c>
      <c r="H703" s="165" t="s">
        <v>128</v>
      </c>
      <c r="I703" s="464" t="s">
        <v>431</v>
      </c>
      <c r="J703" s="170" t="s">
        <v>96</v>
      </c>
      <c r="K703" s="170" t="s">
        <v>345</v>
      </c>
      <c r="L703" s="170" t="s">
        <v>113</v>
      </c>
      <c r="M703" s="75"/>
      <c r="N703" s="75"/>
      <c r="O703" s="75"/>
    </row>
    <row r="704" spans="1:15">
      <c r="A704" s="461">
        <v>46111</v>
      </c>
      <c r="B704" s="464" t="s">
        <v>412</v>
      </c>
      <c r="C704" s="170" t="s">
        <v>337</v>
      </c>
      <c r="D704" s="463" t="s">
        <v>97</v>
      </c>
      <c r="E704" s="464">
        <v>500</v>
      </c>
      <c r="F704" s="454">
        <f t="shared" si="10"/>
        <v>0.93386376795353099</v>
      </c>
      <c r="G704" s="239">
        <v>535.41</v>
      </c>
      <c r="H704" s="165" t="s">
        <v>128</v>
      </c>
      <c r="I704" s="464" t="s">
        <v>431</v>
      </c>
      <c r="J704" s="170" t="s">
        <v>96</v>
      </c>
      <c r="K704" s="170" t="s">
        <v>345</v>
      </c>
      <c r="L704" s="170" t="s">
        <v>113</v>
      </c>
      <c r="M704" s="75"/>
      <c r="N704" s="75"/>
      <c r="O704" s="75"/>
    </row>
    <row r="705" spans="1:15">
      <c r="A705" s="461">
        <v>46111</v>
      </c>
      <c r="B705" s="464" t="s">
        <v>413</v>
      </c>
      <c r="C705" s="464" t="s">
        <v>414</v>
      </c>
      <c r="D705" s="463" t="s">
        <v>97</v>
      </c>
      <c r="E705" s="464">
        <v>3000</v>
      </c>
      <c r="F705" s="454">
        <f t="shared" si="10"/>
        <v>5.6031826077211857</v>
      </c>
      <c r="G705" s="239">
        <v>535.41</v>
      </c>
      <c r="H705" s="165" t="s">
        <v>128</v>
      </c>
      <c r="I705" s="464" t="s">
        <v>435</v>
      </c>
      <c r="J705" s="170" t="s">
        <v>96</v>
      </c>
      <c r="K705" s="170" t="s">
        <v>345</v>
      </c>
      <c r="L705" s="170" t="s">
        <v>113</v>
      </c>
      <c r="M705" s="75"/>
      <c r="N705" s="75"/>
      <c r="O705" s="75"/>
    </row>
    <row r="706" spans="1:15">
      <c r="A706" s="461">
        <v>46111</v>
      </c>
      <c r="B706" s="464" t="s">
        <v>415</v>
      </c>
      <c r="C706" s="170" t="s">
        <v>337</v>
      </c>
      <c r="D706" s="463" t="s">
        <v>97</v>
      </c>
      <c r="E706" s="464">
        <v>500</v>
      </c>
      <c r="F706" s="454">
        <f t="shared" ref="F706:F756" si="11">E706/G706</f>
        <v>0.93386376795353099</v>
      </c>
      <c r="G706" s="239">
        <v>535.41</v>
      </c>
      <c r="H706" s="165" t="s">
        <v>128</v>
      </c>
      <c r="I706" s="464" t="s">
        <v>431</v>
      </c>
      <c r="J706" s="170" t="s">
        <v>96</v>
      </c>
      <c r="K706" s="170" t="s">
        <v>345</v>
      </c>
      <c r="L706" s="170" t="s">
        <v>113</v>
      </c>
      <c r="M706" s="75"/>
      <c r="N706" s="75"/>
      <c r="O706" s="75"/>
    </row>
    <row r="707" spans="1:15">
      <c r="A707" s="461">
        <v>46111</v>
      </c>
      <c r="B707" s="464" t="s">
        <v>416</v>
      </c>
      <c r="C707" s="170" t="s">
        <v>337</v>
      </c>
      <c r="D707" s="463" t="s">
        <v>97</v>
      </c>
      <c r="E707" s="464">
        <v>500</v>
      </c>
      <c r="F707" s="454">
        <f t="shared" si="11"/>
        <v>0.93386376795353099</v>
      </c>
      <c r="G707" s="239">
        <v>535.41</v>
      </c>
      <c r="H707" s="165" t="s">
        <v>128</v>
      </c>
      <c r="I707" s="464" t="s">
        <v>431</v>
      </c>
      <c r="J707" s="170" t="s">
        <v>96</v>
      </c>
      <c r="K707" s="170" t="s">
        <v>345</v>
      </c>
      <c r="L707" s="170" t="s">
        <v>113</v>
      </c>
      <c r="M707" s="75"/>
      <c r="N707" s="75"/>
      <c r="O707" s="75"/>
    </row>
    <row r="708" spans="1:15">
      <c r="A708" s="457">
        <v>46111</v>
      </c>
      <c r="B708" s="242" t="s">
        <v>502</v>
      </c>
      <c r="C708" s="242" t="s">
        <v>103</v>
      </c>
      <c r="D708" s="242" t="s">
        <v>98</v>
      </c>
      <c r="E708" s="460">
        <v>6000</v>
      </c>
      <c r="F708" s="454">
        <f t="shared" si="11"/>
        <v>11.206365215442371</v>
      </c>
      <c r="G708" s="239">
        <v>535.41</v>
      </c>
      <c r="H708" s="242" t="s">
        <v>168</v>
      </c>
      <c r="I708" s="170" t="s">
        <v>532</v>
      </c>
      <c r="J708" s="170" t="s">
        <v>96</v>
      </c>
      <c r="K708" s="170" t="s">
        <v>345</v>
      </c>
      <c r="L708" s="170" t="s">
        <v>113</v>
      </c>
      <c r="M708" s="75"/>
      <c r="N708" s="75"/>
      <c r="O708" s="75"/>
    </row>
    <row r="709" spans="1:15">
      <c r="A709" s="457">
        <v>46111</v>
      </c>
      <c r="B709" s="242" t="s">
        <v>503</v>
      </c>
      <c r="C709" s="242" t="s">
        <v>130</v>
      </c>
      <c r="D709" s="242" t="s">
        <v>98</v>
      </c>
      <c r="E709" s="460">
        <v>80000</v>
      </c>
      <c r="F709" s="454">
        <f t="shared" si="11"/>
        <v>149.41820287256496</v>
      </c>
      <c r="G709" s="239">
        <v>535.41</v>
      </c>
      <c r="H709" s="242" t="s">
        <v>168</v>
      </c>
      <c r="I709" s="170" t="s">
        <v>533</v>
      </c>
      <c r="J709" s="170" t="s">
        <v>96</v>
      </c>
      <c r="K709" s="170" t="s">
        <v>345</v>
      </c>
      <c r="L709" s="170" t="s">
        <v>113</v>
      </c>
      <c r="M709" s="75"/>
      <c r="N709" s="75"/>
      <c r="O709" s="75"/>
    </row>
    <row r="710" spans="1:15">
      <c r="A710" s="457">
        <v>46111</v>
      </c>
      <c r="B710" s="242" t="s">
        <v>504</v>
      </c>
      <c r="C710" s="242" t="s">
        <v>130</v>
      </c>
      <c r="D710" s="242" t="s">
        <v>98</v>
      </c>
      <c r="E710" s="460">
        <v>40000</v>
      </c>
      <c r="F710" s="454">
        <f t="shared" si="11"/>
        <v>74.709101436282481</v>
      </c>
      <c r="G710" s="239">
        <v>535.41</v>
      </c>
      <c r="H710" s="242" t="s">
        <v>168</v>
      </c>
      <c r="I710" s="170" t="s">
        <v>534</v>
      </c>
      <c r="J710" s="170" t="s">
        <v>96</v>
      </c>
      <c r="K710" s="170" t="s">
        <v>345</v>
      </c>
      <c r="L710" s="170" t="s">
        <v>113</v>
      </c>
      <c r="M710" s="75"/>
      <c r="N710" s="75"/>
      <c r="O710" s="75"/>
    </row>
    <row r="711" spans="1:15">
      <c r="A711" s="457">
        <v>46111</v>
      </c>
      <c r="B711" s="242" t="s">
        <v>483</v>
      </c>
      <c r="C711" s="242" t="s">
        <v>463</v>
      </c>
      <c r="D711" s="242" t="s">
        <v>98</v>
      </c>
      <c r="E711" s="460">
        <v>5250</v>
      </c>
      <c r="F711" s="454">
        <f t="shared" si="11"/>
        <v>9.8055695635120763</v>
      </c>
      <c r="G711" s="239">
        <v>535.41</v>
      </c>
      <c r="H711" s="242" t="s">
        <v>168</v>
      </c>
      <c r="I711" s="170" t="s">
        <v>535</v>
      </c>
      <c r="J711" s="170" t="s">
        <v>96</v>
      </c>
      <c r="K711" s="170" t="s">
        <v>345</v>
      </c>
      <c r="L711" s="170" t="s">
        <v>113</v>
      </c>
      <c r="M711" s="75"/>
      <c r="N711" s="75"/>
      <c r="O711" s="75"/>
    </row>
    <row r="712" spans="1:15">
      <c r="A712" s="467">
        <v>46111</v>
      </c>
      <c r="B712" s="242" t="s">
        <v>486</v>
      </c>
      <c r="C712" s="170" t="s">
        <v>337</v>
      </c>
      <c r="D712" s="242" t="s">
        <v>98</v>
      </c>
      <c r="E712" s="298">
        <v>1000</v>
      </c>
      <c r="F712" s="454">
        <f t="shared" si="11"/>
        <v>1.867727535907062</v>
      </c>
      <c r="G712" s="239">
        <v>535.41</v>
      </c>
      <c r="H712" s="242" t="s">
        <v>168</v>
      </c>
      <c r="I712" s="242" t="s">
        <v>510</v>
      </c>
      <c r="J712" s="170" t="s">
        <v>96</v>
      </c>
      <c r="K712" s="170" t="s">
        <v>345</v>
      </c>
      <c r="L712" s="170" t="s">
        <v>113</v>
      </c>
      <c r="M712" s="75"/>
      <c r="N712" s="75"/>
      <c r="O712" s="75"/>
    </row>
    <row r="713" spans="1:15">
      <c r="A713" s="467">
        <v>46111</v>
      </c>
      <c r="B713" s="242" t="s">
        <v>470</v>
      </c>
      <c r="C713" s="170" t="s">
        <v>337</v>
      </c>
      <c r="D713" s="242" t="s">
        <v>98</v>
      </c>
      <c r="E713" s="298">
        <v>1000</v>
      </c>
      <c r="F713" s="454">
        <f t="shared" si="11"/>
        <v>1.867727535907062</v>
      </c>
      <c r="G713" s="239">
        <v>535.41</v>
      </c>
      <c r="H713" s="242" t="s">
        <v>168</v>
      </c>
      <c r="I713" s="242" t="s">
        <v>510</v>
      </c>
      <c r="J713" s="170" t="s">
        <v>96</v>
      </c>
      <c r="K713" s="170" t="s">
        <v>345</v>
      </c>
      <c r="L713" s="170" t="s">
        <v>113</v>
      </c>
      <c r="M713" s="75"/>
      <c r="N713" s="75"/>
      <c r="O713" s="75"/>
    </row>
    <row r="714" spans="1:15">
      <c r="A714" s="467">
        <v>46111</v>
      </c>
      <c r="B714" s="242" t="s">
        <v>505</v>
      </c>
      <c r="C714" s="170" t="s">
        <v>337</v>
      </c>
      <c r="D714" s="242" t="s">
        <v>98</v>
      </c>
      <c r="E714" s="298">
        <v>1000</v>
      </c>
      <c r="F714" s="454">
        <f t="shared" si="11"/>
        <v>1.867727535907062</v>
      </c>
      <c r="G714" s="239">
        <v>535.41</v>
      </c>
      <c r="H714" s="242" t="s">
        <v>168</v>
      </c>
      <c r="I714" s="242" t="s">
        <v>510</v>
      </c>
      <c r="J714" s="170" t="s">
        <v>96</v>
      </c>
      <c r="K714" s="170" t="s">
        <v>345</v>
      </c>
      <c r="L714" s="170" t="s">
        <v>113</v>
      </c>
      <c r="M714" s="75"/>
      <c r="N714" s="75"/>
      <c r="O714" s="75"/>
    </row>
    <row r="715" spans="1:15">
      <c r="A715" s="467">
        <v>46111</v>
      </c>
      <c r="B715" s="242" t="s">
        <v>506</v>
      </c>
      <c r="C715" s="170" t="s">
        <v>337</v>
      </c>
      <c r="D715" s="242" t="s">
        <v>98</v>
      </c>
      <c r="E715" s="298">
        <v>1000</v>
      </c>
      <c r="F715" s="454">
        <f t="shared" si="11"/>
        <v>1.867727535907062</v>
      </c>
      <c r="G715" s="239">
        <v>535.41</v>
      </c>
      <c r="H715" s="242" t="s">
        <v>168</v>
      </c>
      <c r="I715" s="242" t="s">
        <v>510</v>
      </c>
      <c r="J715" s="170" t="s">
        <v>96</v>
      </c>
      <c r="K715" s="170" t="s">
        <v>345</v>
      </c>
      <c r="L715" s="170" t="s">
        <v>113</v>
      </c>
      <c r="M715" s="75"/>
      <c r="N715" s="75"/>
      <c r="O715" s="75"/>
    </row>
    <row r="716" spans="1:15">
      <c r="A716" s="457">
        <v>46111</v>
      </c>
      <c r="B716" s="170" t="s">
        <v>1034</v>
      </c>
      <c r="C716" s="242" t="s">
        <v>406</v>
      </c>
      <c r="D716" s="242" t="s">
        <v>259</v>
      </c>
      <c r="E716" s="242">
        <v>80000</v>
      </c>
      <c r="F716" s="454">
        <f t="shared" si="11"/>
        <v>149.41820287256496</v>
      </c>
      <c r="G716" s="239">
        <v>535.41</v>
      </c>
      <c r="H716" s="242" t="s">
        <v>122</v>
      </c>
      <c r="I716" s="242" t="s">
        <v>640</v>
      </c>
      <c r="J716" s="170" t="s">
        <v>96</v>
      </c>
      <c r="K716" s="170" t="s">
        <v>345</v>
      </c>
      <c r="L716" s="170" t="s">
        <v>113</v>
      </c>
      <c r="M716" s="75"/>
      <c r="N716" s="75"/>
      <c r="O716" s="75"/>
    </row>
    <row r="717" spans="1:15">
      <c r="A717" s="457">
        <v>46111</v>
      </c>
      <c r="B717" s="242" t="s">
        <v>1070</v>
      </c>
      <c r="C717" s="242" t="s">
        <v>402</v>
      </c>
      <c r="D717" s="242" t="s">
        <v>259</v>
      </c>
      <c r="E717" s="242">
        <v>20000</v>
      </c>
      <c r="F717" s="454">
        <f t="shared" si="11"/>
        <v>37.35455071814124</v>
      </c>
      <c r="G717" s="239">
        <v>535.41</v>
      </c>
      <c r="H717" s="242" t="s">
        <v>122</v>
      </c>
      <c r="I717" s="242" t="s">
        <v>641</v>
      </c>
      <c r="J717" s="170" t="s">
        <v>96</v>
      </c>
      <c r="K717" s="170" t="s">
        <v>345</v>
      </c>
      <c r="L717" s="170" t="s">
        <v>113</v>
      </c>
      <c r="M717" s="75"/>
      <c r="N717" s="75"/>
      <c r="O717" s="75"/>
    </row>
    <row r="718" spans="1:15">
      <c r="A718" s="468">
        <v>46111</v>
      </c>
      <c r="B718" s="170" t="s">
        <v>722</v>
      </c>
      <c r="C718" s="170" t="s">
        <v>337</v>
      </c>
      <c r="D718" s="456" t="s">
        <v>97</v>
      </c>
      <c r="E718" s="476">
        <v>1000</v>
      </c>
      <c r="F718" s="454">
        <f t="shared" si="11"/>
        <v>1.867727535907062</v>
      </c>
      <c r="G718" s="239">
        <v>535.41</v>
      </c>
      <c r="H718" s="456" t="s">
        <v>134</v>
      </c>
      <c r="I718" s="170" t="s">
        <v>730</v>
      </c>
      <c r="J718" s="170" t="s">
        <v>96</v>
      </c>
      <c r="K718" s="170" t="s">
        <v>345</v>
      </c>
      <c r="L718" s="170" t="s">
        <v>113</v>
      </c>
      <c r="M718" s="75"/>
      <c r="N718" s="75"/>
      <c r="O718" s="75"/>
    </row>
    <row r="719" spans="1:15">
      <c r="A719" s="468">
        <v>46111</v>
      </c>
      <c r="B719" s="170" t="s">
        <v>723</v>
      </c>
      <c r="C719" s="170" t="s">
        <v>337</v>
      </c>
      <c r="D719" s="456" t="s">
        <v>97</v>
      </c>
      <c r="E719" s="476">
        <v>1000</v>
      </c>
      <c r="F719" s="454">
        <f t="shared" si="11"/>
        <v>1.867727535907062</v>
      </c>
      <c r="G719" s="239">
        <v>535.41</v>
      </c>
      <c r="H719" s="456" t="s">
        <v>134</v>
      </c>
      <c r="I719" s="170" t="s">
        <v>730</v>
      </c>
      <c r="J719" s="170" t="s">
        <v>96</v>
      </c>
      <c r="K719" s="170" t="s">
        <v>345</v>
      </c>
      <c r="L719" s="170" t="s">
        <v>113</v>
      </c>
      <c r="M719" s="75"/>
      <c r="N719" s="75"/>
      <c r="O719" s="75"/>
    </row>
    <row r="720" spans="1:15">
      <c r="A720" s="468">
        <v>46111</v>
      </c>
      <c r="B720" s="170" t="s">
        <v>724</v>
      </c>
      <c r="C720" s="242" t="s">
        <v>402</v>
      </c>
      <c r="D720" s="456" t="s">
        <v>97</v>
      </c>
      <c r="E720" s="476">
        <v>12000</v>
      </c>
      <c r="F720" s="454">
        <f t="shared" si="11"/>
        <v>22.412730430884743</v>
      </c>
      <c r="G720" s="239">
        <v>535.41</v>
      </c>
      <c r="H720" s="456" t="s">
        <v>134</v>
      </c>
      <c r="I720" s="170" t="s">
        <v>741</v>
      </c>
      <c r="J720" s="170" t="s">
        <v>96</v>
      </c>
      <c r="K720" s="170" t="s">
        <v>345</v>
      </c>
      <c r="L720" s="170" t="s">
        <v>113</v>
      </c>
      <c r="M720" s="75"/>
      <c r="N720" s="75"/>
      <c r="O720" s="75"/>
    </row>
    <row r="721" spans="1:15">
      <c r="A721" s="457">
        <v>46111</v>
      </c>
      <c r="B721" s="242" t="s">
        <v>781</v>
      </c>
      <c r="C721" s="242" t="s">
        <v>402</v>
      </c>
      <c r="D721" s="475" t="s">
        <v>100</v>
      </c>
      <c r="E721" s="477">
        <v>12000</v>
      </c>
      <c r="F721" s="454">
        <f t="shared" si="11"/>
        <v>22.412730430884743</v>
      </c>
      <c r="G721" s="239">
        <v>535.41</v>
      </c>
      <c r="H721" s="242" t="s">
        <v>129</v>
      </c>
      <c r="I721" s="242" t="s">
        <v>795</v>
      </c>
      <c r="J721" s="170" t="s">
        <v>96</v>
      </c>
      <c r="K721" s="170" t="s">
        <v>345</v>
      </c>
      <c r="L721" s="170" t="s">
        <v>113</v>
      </c>
      <c r="M721" s="75"/>
      <c r="N721" s="75"/>
      <c r="O721" s="75"/>
    </row>
    <row r="722" spans="1:15">
      <c r="A722" s="457">
        <v>46111</v>
      </c>
      <c r="B722" s="242" t="s">
        <v>832</v>
      </c>
      <c r="C722" s="242" t="s">
        <v>402</v>
      </c>
      <c r="D722" s="472" t="s">
        <v>97</v>
      </c>
      <c r="E722" s="472">
        <v>12000</v>
      </c>
      <c r="F722" s="454">
        <f t="shared" si="11"/>
        <v>22.412730430884743</v>
      </c>
      <c r="G722" s="239">
        <v>535.41</v>
      </c>
      <c r="H722" s="242" t="s">
        <v>124</v>
      </c>
      <c r="I722" s="242" t="s">
        <v>855</v>
      </c>
      <c r="J722" s="170" t="s">
        <v>96</v>
      </c>
      <c r="K722" s="170" t="s">
        <v>345</v>
      </c>
      <c r="L722" s="170" t="s">
        <v>113</v>
      </c>
      <c r="M722" s="75"/>
      <c r="N722" s="75"/>
      <c r="O722" s="75"/>
    </row>
    <row r="723" spans="1:15">
      <c r="A723" s="450">
        <v>46111</v>
      </c>
      <c r="B723" s="300" t="s">
        <v>947</v>
      </c>
      <c r="C723" s="472" t="s">
        <v>104</v>
      </c>
      <c r="D723" s="242" t="s">
        <v>259</v>
      </c>
      <c r="E723" s="368">
        <v>225000</v>
      </c>
      <c r="F723" s="454">
        <f t="shared" si="11"/>
        <v>420.23869557908893</v>
      </c>
      <c r="G723" s="239">
        <v>535.41</v>
      </c>
      <c r="H723" s="242" t="s">
        <v>107</v>
      </c>
      <c r="I723" s="242" t="s">
        <v>987</v>
      </c>
      <c r="J723" s="170" t="s">
        <v>96</v>
      </c>
      <c r="K723" s="170" t="s">
        <v>345</v>
      </c>
      <c r="L723" s="170" t="s">
        <v>113</v>
      </c>
      <c r="M723" s="75"/>
      <c r="N723" s="75"/>
      <c r="O723" s="75"/>
    </row>
    <row r="724" spans="1:15">
      <c r="A724" s="457">
        <v>46112</v>
      </c>
      <c r="B724" s="242" t="s">
        <v>186</v>
      </c>
      <c r="C724" s="170" t="s">
        <v>337</v>
      </c>
      <c r="D724" s="458" t="s">
        <v>99</v>
      </c>
      <c r="E724" s="472">
        <v>1000</v>
      </c>
      <c r="F724" s="454">
        <f t="shared" si="11"/>
        <v>1.9254803020356539</v>
      </c>
      <c r="G724" s="239">
        <v>519.35093749999999</v>
      </c>
      <c r="H724" s="459" t="s">
        <v>111</v>
      </c>
      <c r="I724" s="170" t="s">
        <v>380</v>
      </c>
      <c r="J724" s="170" t="s">
        <v>96</v>
      </c>
      <c r="K724" s="170" t="s">
        <v>345</v>
      </c>
      <c r="L724" s="170" t="s">
        <v>113</v>
      </c>
      <c r="M724" s="361"/>
      <c r="N724" s="361"/>
      <c r="O724" s="271"/>
    </row>
    <row r="725" spans="1:15">
      <c r="A725" s="457">
        <v>46112</v>
      </c>
      <c r="B725" s="242" t="s">
        <v>377</v>
      </c>
      <c r="C725" s="170" t="s">
        <v>337</v>
      </c>
      <c r="D725" s="458" t="s">
        <v>99</v>
      </c>
      <c r="E725" s="472">
        <v>1000</v>
      </c>
      <c r="F725" s="454">
        <f t="shared" si="11"/>
        <v>1.9254803020356539</v>
      </c>
      <c r="G725" s="239">
        <v>519.35093749999999</v>
      </c>
      <c r="H725" s="459" t="s">
        <v>111</v>
      </c>
      <c r="I725" s="170" t="s">
        <v>380</v>
      </c>
      <c r="J725" s="170" t="s">
        <v>96</v>
      </c>
      <c r="K725" s="170" t="s">
        <v>345</v>
      </c>
      <c r="L725" s="170" t="s">
        <v>113</v>
      </c>
      <c r="M725" s="361"/>
      <c r="N725" s="361"/>
      <c r="O725" s="271"/>
    </row>
    <row r="726" spans="1:15">
      <c r="A726" s="457">
        <v>46112</v>
      </c>
      <c r="B726" s="242" t="s">
        <v>378</v>
      </c>
      <c r="C726" s="170" t="s">
        <v>337</v>
      </c>
      <c r="D726" s="458" t="s">
        <v>99</v>
      </c>
      <c r="E726" s="472">
        <v>1000</v>
      </c>
      <c r="F726" s="454">
        <f t="shared" si="11"/>
        <v>1.9054742621280678</v>
      </c>
      <c r="G726" s="239">
        <v>524.80372990353703</v>
      </c>
      <c r="H726" s="459" t="s">
        <v>111</v>
      </c>
      <c r="I726" s="170" t="s">
        <v>380</v>
      </c>
      <c r="J726" s="170" t="s">
        <v>96</v>
      </c>
      <c r="K726" s="170" t="s">
        <v>345</v>
      </c>
      <c r="L726" s="170" t="s">
        <v>113</v>
      </c>
      <c r="M726" s="366"/>
      <c r="N726" s="364"/>
      <c r="O726" s="75"/>
    </row>
    <row r="727" spans="1:15">
      <c r="A727" s="457">
        <v>46112</v>
      </c>
      <c r="B727" s="242" t="s">
        <v>187</v>
      </c>
      <c r="C727" s="170" t="s">
        <v>337</v>
      </c>
      <c r="D727" s="458" t="s">
        <v>99</v>
      </c>
      <c r="E727" s="472">
        <v>1000</v>
      </c>
      <c r="F727" s="454">
        <f t="shared" si="11"/>
        <v>1.9254803020356539</v>
      </c>
      <c r="G727" s="239">
        <v>519.35093749999999</v>
      </c>
      <c r="H727" s="459" t="s">
        <v>111</v>
      </c>
      <c r="I727" s="170" t="s">
        <v>380</v>
      </c>
      <c r="J727" s="170" t="s">
        <v>96</v>
      </c>
      <c r="K727" s="170" t="s">
        <v>345</v>
      </c>
      <c r="L727" s="170" t="s">
        <v>113</v>
      </c>
      <c r="M727" s="361"/>
      <c r="N727" s="361"/>
      <c r="O727" s="271"/>
    </row>
    <row r="728" spans="1:15">
      <c r="A728" s="466">
        <v>46112</v>
      </c>
      <c r="B728" s="464" t="s">
        <v>418</v>
      </c>
      <c r="C728" s="464" t="s">
        <v>414</v>
      </c>
      <c r="D728" s="463" t="s">
        <v>97</v>
      </c>
      <c r="E728" s="465">
        <v>3000</v>
      </c>
      <c r="F728" s="454">
        <f t="shared" si="11"/>
        <v>5.6031826077211857</v>
      </c>
      <c r="G728" s="239">
        <v>535.41</v>
      </c>
      <c r="H728" s="165" t="s">
        <v>128</v>
      </c>
      <c r="I728" s="464" t="s">
        <v>435</v>
      </c>
      <c r="J728" s="170" t="s">
        <v>96</v>
      </c>
      <c r="K728" s="170" t="s">
        <v>345</v>
      </c>
      <c r="L728" s="170" t="s">
        <v>113</v>
      </c>
      <c r="M728" s="75"/>
      <c r="N728" s="75"/>
      <c r="O728" s="75"/>
    </row>
    <row r="729" spans="1:15">
      <c r="A729" s="466">
        <v>46112</v>
      </c>
      <c r="B729" s="464" t="s">
        <v>419</v>
      </c>
      <c r="C729" s="170" t="s">
        <v>337</v>
      </c>
      <c r="D729" s="463" t="s">
        <v>97</v>
      </c>
      <c r="E729" s="465">
        <v>500</v>
      </c>
      <c r="F729" s="454">
        <f t="shared" si="11"/>
        <v>0.93386376795353099</v>
      </c>
      <c r="G729" s="239">
        <v>535.41</v>
      </c>
      <c r="H729" s="165" t="s">
        <v>128</v>
      </c>
      <c r="I729" s="464" t="s">
        <v>431</v>
      </c>
      <c r="J729" s="170" t="s">
        <v>96</v>
      </c>
      <c r="K729" s="170" t="s">
        <v>345</v>
      </c>
      <c r="L729" s="170" t="s">
        <v>113</v>
      </c>
      <c r="M729" s="75"/>
      <c r="N729" s="75"/>
      <c r="O729" s="75"/>
    </row>
    <row r="730" spans="1:15">
      <c r="A730" s="466">
        <v>46112</v>
      </c>
      <c r="B730" s="464" t="s">
        <v>420</v>
      </c>
      <c r="C730" s="170" t="s">
        <v>337</v>
      </c>
      <c r="D730" s="463" t="s">
        <v>97</v>
      </c>
      <c r="E730" s="465">
        <v>300</v>
      </c>
      <c r="F730" s="454">
        <f t="shared" si="11"/>
        <v>0.56031826077211855</v>
      </c>
      <c r="G730" s="239">
        <v>535.41</v>
      </c>
      <c r="H730" s="165" t="s">
        <v>128</v>
      </c>
      <c r="I730" s="464" t="s">
        <v>431</v>
      </c>
      <c r="J730" s="170" t="s">
        <v>96</v>
      </c>
      <c r="K730" s="170" t="s">
        <v>345</v>
      </c>
      <c r="L730" s="170" t="s">
        <v>113</v>
      </c>
      <c r="M730" s="75"/>
      <c r="N730" s="75"/>
      <c r="O730" s="75"/>
    </row>
    <row r="731" spans="1:15">
      <c r="A731" s="466">
        <v>46112</v>
      </c>
      <c r="B731" s="464" t="s">
        <v>421</v>
      </c>
      <c r="C731" s="170" t="s">
        <v>337</v>
      </c>
      <c r="D731" s="463" t="s">
        <v>97</v>
      </c>
      <c r="E731" s="465">
        <v>500</v>
      </c>
      <c r="F731" s="454">
        <f t="shared" si="11"/>
        <v>0.93386376795353099</v>
      </c>
      <c r="G731" s="239">
        <v>535.41</v>
      </c>
      <c r="H731" s="165" t="s">
        <v>128</v>
      </c>
      <c r="I731" s="464" t="s">
        <v>431</v>
      </c>
      <c r="J731" s="170" t="s">
        <v>96</v>
      </c>
      <c r="K731" s="170" t="s">
        <v>345</v>
      </c>
      <c r="L731" s="170" t="s">
        <v>113</v>
      </c>
      <c r="M731" s="75"/>
      <c r="N731" s="75"/>
      <c r="O731" s="75"/>
    </row>
    <row r="732" spans="1:15">
      <c r="A732" s="466">
        <v>46112</v>
      </c>
      <c r="B732" s="464" t="s">
        <v>422</v>
      </c>
      <c r="C732" s="464" t="s">
        <v>406</v>
      </c>
      <c r="D732" s="463" t="s">
        <v>97</v>
      </c>
      <c r="E732" s="465">
        <v>20000</v>
      </c>
      <c r="F732" s="454">
        <f t="shared" si="11"/>
        <v>37.35455071814124</v>
      </c>
      <c r="G732" s="239">
        <v>535.41</v>
      </c>
      <c r="H732" s="165" t="s">
        <v>128</v>
      </c>
      <c r="I732" s="464" t="s">
        <v>437</v>
      </c>
      <c r="J732" s="170" t="s">
        <v>96</v>
      </c>
      <c r="K732" s="170" t="s">
        <v>345</v>
      </c>
      <c r="L732" s="170" t="s">
        <v>113</v>
      </c>
      <c r="M732" s="75"/>
      <c r="N732" s="75"/>
      <c r="O732" s="75"/>
    </row>
    <row r="733" spans="1:15">
      <c r="A733" s="466">
        <v>46112</v>
      </c>
      <c r="B733" s="464" t="s">
        <v>423</v>
      </c>
      <c r="C733" s="170" t="s">
        <v>337</v>
      </c>
      <c r="D733" s="463" t="s">
        <v>97</v>
      </c>
      <c r="E733" s="465">
        <v>300</v>
      </c>
      <c r="F733" s="454">
        <f t="shared" si="11"/>
        <v>0.56031826077211855</v>
      </c>
      <c r="G733" s="239">
        <v>535.41</v>
      </c>
      <c r="H733" s="165" t="s">
        <v>128</v>
      </c>
      <c r="I733" s="464" t="s">
        <v>431</v>
      </c>
      <c r="J733" s="170" t="s">
        <v>96</v>
      </c>
      <c r="K733" s="170" t="s">
        <v>345</v>
      </c>
      <c r="L733" s="170" t="s">
        <v>113</v>
      </c>
      <c r="M733" s="75"/>
      <c r="N733" s="75"/>
      <c r="O733" s="75"/>
    </row>
    <row r="734" spans="1:15">
      <c r="A734" s="466">
        <v>46112</v>
      </c>
      <c r="B734" s="464" t="s">
        <v>424</v>
      </c>
      <c r="C734" s="170" t="s">
        <v>337</v>
      </c>
      <c r="D734" s="463" t="s">
        <v>97</v>
      </c>
      <c r="E734" s="465">
        <v>500</v>
      </c>
      <c r="F734" s="454">
        <f t="shared" si="11"/>
        <v>0.93386376795353099</v>
      </c>
      <c r="G734" s="239">
        <v>535.41</v>
      </c>
      <c r="H734" s="165" t="s">
        <v>128</v>
      </c>
      <c r="I734" s="464" t="s">
        <v>431</v>
      </c>
      <c r="J734" s="170" t="s">
        <v>96</v>
      </c>
      <c r="K734" s="170" t="s">
        <v>345</v>
      </c>
      <c r="L734" s="170" t="s">
        <v>113</v>
      </c>
      <c r="M734" s="75"/>
      <c r="N734" s="75"/>
      <c r="O734" s="75"/>
    </row>
    <row r="735" spans="1:15">
      <c r="A735" s="467">
        <v>46112</v>
      </c>
      <c r="B735" s="242" t="s">
        <v>507</v>
      </c>
      <c r="C735" s="170" t="s">
        <v>337</v>
      </c>
      <c r="D735" s="242" t="s">
        <v>98</v>
      </c>
      <c r="E735" s="369">
        <v>1000</v>
      </c>
      <c r="F735" s="454">
        <f t="shared" si="11"/>
        <v>1.867727535907062</v>
      </c>
      <c r="G735" s="239">
        <v>535.41</v>
      </c>
      <c r="H735" s="242" t="s">
        <v>168</v>
      </c>
      <c r="I735" s="242" t="s">
        <v>510</v>
      </c>
      <c r="J735" s="170" t="s">
        <v>96</v>
      </c>
      <c r="K735" s="170" t="s">
        <v>345</v>
      </c>
      <c r="L735" s="170" t="s">
        <v>113</v>
      </c>
      <c r="M735" s="75"/>
      <c r="N735" s="75"/>
      <c r="O735" s="75"/>
    </row>
    <row r="736" spans="1:15">
      <c r="A736" s="467">
        <v>46112</v>
      </c>
      <c r="B736" s="242" t="s">
        <v>508</v>
      </c>
      <c r="C736" s="170" t="s">
        <v>337</v>
      </c>
      <c r="D736" s="242" t="s">
        <v>98</v>
      </c>
      <c r="E736" s="369">
        <v>1000</v>
      </c>
      <c r="F736" s="454">
        <f t="shared" si="11"/>
        <v>1.867727535907062</v>
      </c>
      <c r="G736" s="239">
        <v>535.41</v>
      </c>
      <c r="H736" s="242" t="s">
        <v>168</v>
      </c>
      <c r="I736" s="242" t="s">
        <v>510</v>
      </c>
      <c r="J736" s="170" t="s">
        <v>96</v>
      </c>
      <c r="K736" s="170" t="s">
        <v>345</v>
      </c>
      <c r="L736" s="170" t="s">
        <v>113</v>
      </c>
      <c r="M736" s="75"/>
      <c r="N736" s="75"/>
      <c r="O736" s="75"/>
    </row>
    <row r="737" spans="1:15">
      <c r="A737" s="467">
        <v>46112</v>
      </c>
      <c r="B737" s="242" t="s">
        <v>509</v>
      </c>
      <c r="C737" s="170" t="s">
        <v>337</v>
      </c>
      <c r="D737" s="242" t="s">
        <v>98</v>
      </c>
      <c r="E737" s="369">
        <v>1000</v>
      </c>
      <c r="F737" s="454">
        <f t="shared" si="11"/>
        <v>1.867727535907062</v>
      </c>
      <c r="G737" s="239">
        <v>535.41</v>
      </c>
      <c r="H737" s="242" t="s">
        <v>168</v>
      </c>
      <c r="I737" s="242" t="s">
        <v>510</v>
      </c>
      <c r="J737" s="170" t="s">
        <v>96</v>
      </c>
      <c r="K737" s="170" t="s">
        <v>345</v>
      </c>
      <c r="L737" s="170" t="s">
        <v>113</v>
      </c>
      <c r="M737" s="75"/>
      <c r="N737" s="75"/>
      <c r="O737" s="75"/>
    </row>
    <row r="738" spans="1:15">
      <c r="A738" s="428">
        <v>46112</v>
      </c>
      <c r="B738" s="429" t="s">
        <v>1053</v>
      </c>
      <c r="C738" s="170" t="s">
        <v>337</v>
      </c>
      <c r="D738" s="429" t="s">
        <v>259</v>
      </c>
      <c r="E738" s="473">
        <v>500</v>
      </c>
      <c r="F738" s="454">
        <f t="shared" si="11"/>
        <v>0.93386376795353099</v>
      </c>
      <c r="G738" s="239">
        <v>535.41</v>
      </c>
      <c r="H738" s="429" t="s">
        <v>123</v>
      </c>
      <c r="I738" s="429" t="s">
        <v>550</v>
      </c>
      <c r="J738" s="170" t="s">
        <v>96</v>
      </c>
      <c r="K738" s="170" t="s">
        <v>345</v>
      </c>
      <c r="L738" s="170" t="s">
        <v>113</v>
      </c>
      <c r="M738" s="75"/>
      <c r="N738" s="75"/>
      <c r="O738" s="75"/>
    </row>
    <row r="739" spans="1:15">
      <c r="A739" s="428">
        <v>46112</v>
      </c>
      <c r="B739" s="429" t="s">
        <v>1033</v>
      </c>
      <c r="C739" s="170" t="s">
        <v>337</v>
      </c>
      <c r="D739" s="429" t="s">
        <v>259</v>
      </c>
      <c r="E739" s="473">
        <v>500</v>
      </c>
      <c r="F739" s="454">
        <f t="shared" si="11"/>
        <v>0.93386376795353099</v>
      </c>
      <c r="G739" s="239">
        <v>535.41</v>
      </c>
      <c r="H739" s="429" t="s">
        <v>123</v>
      </c>
      <c r="I739" s="429" t="s">
        <v>550</v>
      </c>
      <c r="J739" s="170" t="s">
        <v>96</v>
      </c>
      <c r="K739" s="170" t="s">
        <v>345</v>
      </c>
      <c r="L739" s="170" t="s">
        <v>113</v>
      </c>
      <c r="M739" s="75"/>
      <c r="N739" s="75"/>
      <c r="O739" s="75"/>
    </row>
    <row r="740" spans="1:15">
      <c r="A740" s="428">
        <v>46112</v>
      </c>
      <c r="B740" s="429" t="s">
        <v>1051</v>
      </c>
      <c r="C740" s="429" t="s">
        <v>542</v>
      </c>
      <c r="D740" s="429" t="s">
        <v>259</v>
      </c>
      <c r="E740" s="473">
        <v>110000</v>
      </c>
      <c r="F740" s="454">
        <f t="shared" si="11"/>
        <v>205.45002894977682</v>
      </c>
      <c r="G740" s="239">
        <v>535.41</v>
      </c>
      <c r="H740" s="429" t="s">
        <v>123</v>
      </c>
      <c r="I740" s="429" t="s">
        <v>581</v>
      </c>
      <c r="J740" s="170" t="s">
        <v>96</v>
      </c>
      <c r="K740" s="170" t="s">
        <v>345</v>
      </c>
      <c r="L740" s="170" t="s">
        <v>113</v>
      </c>
      <c r="M740" s="75"/>
      <c r="N740" s="75"/>
      <c r="O740" s="75"/>
    </row>
    <row r="741" spans="1:15">
      <c r="A741" s="428">
        <v>46112</v>
      </c>
      <c r="B741" s="429" t="s">
        <v>1043</v>
      </c>
      <c r="C741" s="242" t="s">
        <v>402</v>
      </c>
      <c r="D741" s="429" t="s">
        <v>259</v>
      </c>
      <c r="E741" s="429">
        <v>2000</v>
      </c>
      <c r="F741" s="454">
        <f t="shared" si="11"/>
        <v>3.735455071814124</v>
      </c>
      <c r="G741" s="239">
        <v>535.41</v>
      </c>
      <c r="H741" s="429" t="s">
        <v>123</v>
      </c>
      <c r="I741" s="429" t="s">
        <v>582</v>
      </c>
      <c r="J741" s="170" t="s">
        <v>96</v>
      </c>
      <c r="K741" s="170" t="s">
        <v>345</v>
      </c>
      <c r="L741" s="170" t="s">
        <v>113</v>
      </c>
      <c r="M741" s="75"/>
      <c r="N741" s="75"/>
      <c r="O741" s="75"/>
    </row>
    <row r="742" spans="1:15">
      <c r="A742" s="428">
        <v>46112</v>
      </c>
      <c r="B742" s="429" t="s">
        <v>1066</v>
      </c>
      <c r="C742" s="170" t="s">
        <v>337</v>
      </c>
      <c r="D742" s="429" t="s">
        <v>259</v>
      </c>
      <c r="E742" s="473">
        <v>1000</v>
      </c>
      <c r="F742" s="454">
        <f t="shared" si="11"/>
        <v>1.867727535907062</v>
      </c>
      <c r="G742" s="239">
        <v>535.41</v>
      </c>
      <c r="H742" s="429" t="s">
        <v>123</v>
      </c>
      <c r="I742" s="429" t="s">
        <v>550</v>
      </c>
      <c r="J742" s="170" t="s">
        <v>96</v>
      </c>
      <c r="K742" s="170" t="s">
        <v>345</v>
      </c>
      <c r="L742" s="170" t="s">
        <v>113</v>
      </c>
      <c r="M742" s="75"/>
      <c r="N742" s="75"/>
      <c r="O742" s="75"/>
    </row>
    <row r="743" spans="1:15">
      <c r="A743" s="457">
        <v>46112</v>
      </c>
      <c r="B743" s="170" t="s">
        <v>1034</v>
      </c>
      <c r="C743" s="242" t="s">
        <v>406</v>
      </c>
      <c r="D743" s="242" t="s">
        <v>259</v>
      </c>
      <c r="E743" s="472">
        <v>10000</v>
      </c>
      <c r="F743" s="454">
        <f t="shared" si="11"/>
        <v>18.67727535907062</v>
      </c>
      <c r="G743" s="239">
        <v>535.41</v>
      </c>
      <c r="H743" s="242" t="s">
        <v>122</v>
      </c>
      <c r="I743" s="242" t="s">
        <v>643</v>
      </c>
      <c r="J743" s="170" t="s">
        <v>96</v>
      </c>
      <c r="K743" s="170" t="s">
        <v>345</v>
      </c>
      <c r="L743" s="170" t="s">
        <v>113</v>
      </c>
      <c r="M743" s="75"/>
      <c r="N743" s="75"/>
      <c r="O743" s="75"/>
    </row>
    <row r="744" spans="1:15">
      <c r="A744" s="457">
        <v>46112</v>
      </c>
      <c r="B744" s="242" t="s">
        <v>1027</v>
      </c>
      <c r="C744" s="170" t="s">
        <v>337</v>
      </c>
      <c r="D744" s="242" t="s">
        <v>259</v>
      </c>
      <c r="E744" s="472">
        <v>500</v>
      </c>
      <c r="F744" s="454">
        <f t="shared" si="11"/>
        <v>0.93386376795353099</v>
      </c>
      <c r="G744" s="239">
        <v>535.41</v>
      </c>
      <c r="H744" s="242" t="s">
        <v>122</v>
      </c>
      <c r="I744" s="242" t="s">
        <v>594</v>
      </c>
      <c r="J744" s="170" t="s">
        <v>96</v>
      </c>
      <c r="K744" s="170" t="s">
        <v>345</v>
      </c>
      <c r="L744" s="170" t="s">
        <v>113</v>
      </c>
      <c r="M744" s="75"/>
      <c r="N744" s="75"/>
      <c r="O744" s="75"/>
    </row>
    <row r="745" spans="1:15">
      <c r="A745" s="457">
        <v>46112</v>
      </c>
      <c r="B745" s="242" t="s">
        <v>1026</v>
      </c>
      <c r="C745" s="242" t="s">
        <v>402</v>
      </c>
      <c r="D745" s="242" t="s">
        <v>259</v>
      </c>
      <c r="E745" s="472">
        <v>2000</v>
      </c>
      <c r="F745" s="454">
        <f t="shared" si="11"/>
        <v>3.735455071814124</v>
      </c>
      <c r="G745" s="239">
        <v>535.41</v>
      </c>
      <c r="H745" s="242" t="s">
        <v>122</v>
      </c>
      <c r="I745" s="242" t="s">
        <v>644</v>
      </c>
      <c r="J745" s="170" t="s">
        <v>96</v>
      </c>
      <c r="K745" s="170" t="s">
        <v>345</v>
      </c>
      <c r="L745" s="170" t="s">
        <v>113</v>
      </c>
      <c r="M745" s="75"/>
      <c r="N745" s="75"/>
      <c r="O745" s="75"/>
    </row>
    <row r="746" spans="1:15">
      <c r="A746" s="457">
        <v>46112</v>
      </c>
      <c r="B746" s="242" t="s">
        <v>1068</v>
      </c>
      <c r="C746" s="170" t="s">
        <v>337</v>
      </c>
      <c r="D746" s="242" t="s">
        <v>259</v>
      </c>
      <c r="E746" s="472">
        <v>1000</v>
      </c>
      <c r="F746" s="454">
        <f t="shared" si="11"/>
        <v>1.867727535907062</v>
      </c>
      <c r="G746" s="239">
        <v>535.41</v>
      </c>
      <c r="H746" s="242" t="s">
        <v>122</v>
      </c>
      <c r="I746" s="242" t="s">
        <v>594</v>
      </c>
      <c r="J746" s="170" t="s">
        <v>96</v>
      </c>
      <c r="K746" s="170" t="s">
        <v>345</v>
      </c>
      <c r="L746" s="170" t="s">
        <v>113</v>
      </c>
      <c r="M746" s="75"/>
      <c r="N746" s="75"/>
      <c r="O746" s="75"/>
    </row>
    <row r="747" spans="1:15">
      <c r="A747" s="457">
        <v>46112</v>
      </c>
      <c r="B747" s="242" t="s">
        <v>1029</v>
      </c>
      <c r="C747" s="170" t="s">
        <v>337</v>
      </c>
      <c r="D747" s="242" t="s">
        <v>259</v>
      </c>
      <c r="E747" s="472">
        <v>500</v>
      </c>
      <c r="F747" s="454">
        <f t="shared" si="11"/>
        <v>0.93386376795353099</v>
      </c>
      <c r="G747" s="239">
        <v>535.41</v>
      </c>
      <c r="H747" s="242" t="s">
        <v>122</v>
      </c>
      <c r="I747" s="242" t="s">
        <v>594</v>
      </c>
      <c r="J747" s="170" t="s">
        <v>96</v>
      </c>
      <c r="K747" s="170" t="s">
        <v>345</v>
      </c>
      <c r="L747" s="170" t="s">
        <v>113</v>
      </c>
      <c r="M747" s="75"/>
      <c r="N747" s="75"/>
      <c r="O747" s="75"/>
    </row>
    <row r="748" spans="1:15">
      <c r="A748" s="468">
        <v>46112</v>
      </c>
      <c r="B748" s="170" t="s">
        <v>725</v>
      </c>
      <c r="C748" s="170" t="s">
        <v>337</v>
      </c>
      <c r="D748" s="456" t="s">
        <v>97</v>
      </c>
      <c r="E748" s="476">
        <v>1000</v>
      </c>
      <c r="F748" s="454">
        <f t="shared" si="11"/>
        <v>1.867727535907062</v>
      </c>
      <c r="G748" s="239">
        <v>535.41</v>
      </c>
      <c r="H748" s="456" t="s">
        <v>134</v>
      </c>
      <c r="I748" s="170" t="s">
        <v>730</v>
      </c>
      <c r="J748" s="170" t="s">
        <v>96</v>
      </c>
      <c r="K748" s="170" t="s">
        <v>345</v>
      </c>
      <c r="L748" s="170" t="s">
        <v>113</v>
      </c>
      <c r="M748" s="75"/>
      <c r="N748" s="75"/>
      <c r="O748" s="75"/>
    </row>
    <row r="749" spans="1:15">
      <c r="A749" s="468">
        <v>46112</v>
      </c>
      <c r="B749" s="170" t="s">
        <v>726</v>
      </c>
      <c r="C749" s="170" t="s">
        <v>337</v>
      </c>
      <c r="D749" s="456" t="s">
        <v>97</v>
      </c>
      <c r="E749" s="476">
        <v>500</v>
      </c>
      <c r="F749" s="454">
        <f t="shared" si="11"/>
        <v>0.93386376795353099</v>
      </c>
      <c r="G749" s="239">
        <v>535.41</v>
      </c>
      <c r="H749" s="456" t="s">
        <v>134</v>
      </c>
      <c r="I749" s="170" t="s">
        <v>730</v>
      </c>
      <c r="J749" s="170" t="s">
        <v>96</v>
      </c>
      <c r="K749" s="170" t="s">
        <v>345</v>
      </c>
      <c r="L749" s="170" t="s">
        <v>113</v>
      </c>
      <c r="M749" s="75"/>
      <c r="N749" s="75"/>
      <c r="O749" s="75"/>
    </row>
    <row r="750" spans="1:15">
      <c r="A750" s="468">
        <v>46112</v>
      </c>
      <c r="B750" s="170" t="s">
        <v>727</v>
      </c>
      <c r="C750" s="170" t="s">
        <v>542</v>
      </c>
      <c r="D750" s="170" t="s">
        <v>97</v>
      </c>
      <c r="E750" s="476">
        <v>50000</v>
      </c>
      <c r="F750" s="454">
        <f t="shared" si="11"/>
        <v>93.386376795353101</v>
      </c>
      <c r="G750" s="239">
        <v>535.41</v>
      </c>
      <c r="H750" s="456" t="s">
        <v>134</v>
      </c>
      <c r="I750" s="170" t="s">
        <v>743</v>
      </c>
      <c r="J750" s="170" t="s">
        <v>96</v>
      </c>
      <c r="K750" s="170" t="s">
        <v>345</v>
      </c>
      <c r="L750" s="170" t="s">
        <v>113</v>
      </c>
      <c r="M750" s="75"/>
      <c r="N750" s="75"/>
      <c r="O750" s="75"/>
    </row>
    <row r="751" spans="1:15">
      <c r="A751" s="457">
        <v>46112</v>
      </c>
      <c r="B751" s="242" t="s">
        <v>783</v>
      </c>
      <c r="C751" s="170" t="s">
        <v>337</v>
      </c>
      <c r="D751" s="469" t="s">
        <v>100</v>
      </c>
      <c r="E751" s="477">
        <v>1000</v>
      </c>
      <c r="F751" s="454">
        <f t="shared" si="11"/>
        <v>1.867727535907062</v>
      </c>
      <c r="G751" s="239">
        <v>535.41</v>
      </c>
      <c r="H751" s="242" t="s">
        <v>129</v>
      </c>
      <c r="I751" s="242" t="s">
        <v>792</v>
      </c>
      <c r="J751" s="170" t="s">
        <v>96</v>
      </c>
      <c r="K751" s="170" t="s">
        <v>345</v>
      </c>
      <c r="L751" s="170" t="s">
        <v>113</v>
      </c>
      <c r="M751" s="75"/>
      <c r="N751" s="75"/>
      <c r="O751" s="75"/>
    </row>
    <row r="752" spans="1:15">
      <c r="A752" s="457">
        <v>46112</v>
      </c>
      <c r="B752" s="242" t="s">
        <v>784</v>
      </c>
      <c r="C752" s="170" t="s">
        <v>337</v>
      </c>
      <c r="D752" s="469" t="s">
        <v>100</v>
      </c>
      <c r="E752" s="477">
        <v>500</v>
      </c>
      <c r="F752" s="454">
        <f t="shared" si="11"/>
        <v>0.93386376795353099</v>
      </c>
      <c r="G752" s="239">
        <v>535.41</v>
      </c>
      <c r="H752" s="242" t="s">
        <v>129</v>
      </c>
      <c r="I752" s="242" t="s">
        <v>792</v>
      </c>
      <c r="J752" s="170" t="s">
        <v>96</v>
      </c>
      <c r="K752" s="170" t="s">
        <v>345</v>
      </c>
      <c r="L752" s="170" t="s">
        <v>113</v>
      </c>
      <c r="M752" s="75"/>
      <c r="N752" s="75"/>
      <c r="O752" s="75"/>
    </row>
    <row r="753" spans="1:15">
      <c r="A753" s="457">
        <v>46112</v>
      </c>
      <c r="B753" s="242" t="s">
        <v>785</v>
      </c>
      <c r="C753" s="242" t="s">
        <v>542</v>
      </c>
      <c r="D753" s="469" t="s">
        <v>100</v>
      </c>
      <c r="E753" s="477">
        <v>50000</v>
      </c>
      <c r="F753" s="454">
        <f t="shared" si="11"/>
        <v>93.386376795353101</v>
      </c>
      <c r="G753" s="239">
        <v>535.41</v>
      </c>
      <c r="H753" s="242" t="s">
        <v>129</v>
      </c>
      <c r="I753" s="242" t="s">
        <v>797</v>
      </c>
      <c r="J753" s="170" t="s">
        <v>96</v>
      </c>
      <c r="K753" s="170" t="s">
        <v>345</v>
      </c>
      <c r="L753" s="170" t="s">
        <v>113</v>
      </c>
      <c r="M753" s="75"/>
      <c r="N753" s="75"/>
      <c r="O753" s="75"/>
    </row>
    <row r="754" spans="1:15">
      <c r="A754" s="457">
        <v>46112</v>
      </c>
      <c r="B754" s="242" t="s">
        <v>833</v>
      </c>
      <c r="C754" s="170" t="s">
        <v>337</v>
      </c>
      <c r="D754" s="242" t="s">
        <v>97</v>
      </c>
      <c r="E754" s="472">
        <v>2000</v>
      </c>
      <c r="F754" s="454">
        <f t="shared" si="11"/>
        <v>3.735455071814124</v>
      </c>
      <c r="G754" s="239">
        <v>535.41</v>
      </c>
      <c r="H754" s="242" t="s">
        <v>124</v>
      </c>
      <c r="I754" s="242" t="s">
        <v>836</v>
      </c>
      <c r="J754" s="170" t="s">
        <v>96</v>
      </c>
      <c r="K754" s="170" t="s">
        <v>345</v>
      </c>
      <c r="L754" s="170" t="s">
        <v>113</v>
      </c>
      <c r="M754" s="75"/>
      <c r="N754" s="75"/>
      <c r="O754" s="75"/>
    </row>
    <row r="755" spans="1:15">
      <c r="A755" s="457">
        <v>46112</v>
      </c>
      <c r="B755" s="242" t="s">
        <v>834</v>
      </c>
      <c r="C755" s="170" t="s">
        <v>337</v>
      </c>
      <c r="D755" s="242" t="s">
        <v>97</v>
      </c>
      <c r="E755" s="472">
        <v>500</v>
      </c>
      <c r="F755" s="454">
        <f t="shared" si="11"/>
        <v>0.93386376795353099</v>
      </c>
      <c r="G755" s="239">
        <v>535.41</v>
      </c>
      <c r="H755" s="242" t="s">
        <v>124</v>
      </c>
      <c r="I755" s="242" t="s">
        <v>836</v>
      </c>
      <c r="J755" s="170" t="s">
        <v>96</v>
      </c>
      <c r="K755" s="170" t="s">
        <v>345</v>
      </c>
      <c r="L755" s="170" t="s">
        <v>113</v>
      </c>
      <c r="M755" s="75"/>
      <c r="N755" s="75"/>
      <c r="O755" s="75"/>
    </row>
    <row r="756" spans="1:15">
      <c r="A756" s="457">
        <v>46112</v>
      </c>
      <c r="B756" s="242" t="s">
        <v>835</v>
      </c>
      <c r="C756" s="242" t="s">
        <v>542</v>
      </c>
      <c r="D756" s="242" t="s">
        <v>97</v>
      </c>
      <c r="E756" s="472">
        <v>50000</v>
      </c>
      <c r="F756" s="454">
        <f t="shared" si="11"/>
        <v>93.386376795353101</v>
      </c>
      <c r="G756" s="239">
        <v>535.41</v>
      </c>
      <c r="H756" s="242" t="s">
        <v>124</v>
      </c>
      <c r="I756" s="242" t="s">
        <v>856</v>
      </c>
      <c r="J756" s="170" t="s">
        <v>96</v>
      </c>
      <c r="K756" s="170" t="s">
        <v>345</v>
      </c>
      <c r="L756" s="170" t="s">
        <v>113</v>
      </c>
      <c r="M756" s="75"/>
      <c r="N756" s="75"/>
      <c r="O756" s="75"/>
    </row>
    <row r="757" spans="1:15">
      <c r="E757" s="262"/>
      <c r="F757" s="262"/>
      <c r="G757" s="246"/>
      <c r="H757" s="246"/>
    </row>
    <row r="758" spans="1:15">
      <c r="E758" s="262"/>
      <c r="F758" s="262"/>
      <c r="G758" s="246"/>
      <c r="H758" s="246"/>
    </row>
    <row r="759" spans="1:15">
      <c r="E759" s="262"/>
      <c r="F759" s="262"/>
      <c r="G759" s="246"/>
      <c r="H759" s="246"/>
    </row>
    <row r="760" spans="1:15">
      <c r="E760" s="262"/>
      <c r="F760" s="262"/>
      <c r="G760" s="246"/>
      <c r="H760" s="246"/>
    </row>
    <row r="761" spans="1:15">
      <c r="E761" s="262"/>
      <c r="F761" s="262"/>
      <c r="G761" s="246"/>
      <c r="H761" s="246"/>
    </row>
    <row r="762" spans="1:15">
      <c r="E762" s="262"/>
      <c r="F762" s="262"/>
      <c r="G762" s="246"/>
      <c r="H762" s="246"/>
    </row>
    <row r="763" spans="1:15">
      <c r="E763" s="262"/>
      <c r="F763" s="262"/>
      <c r="G763" s="246"/>
      <c r="H763" s="246"/>
    </row>
    <row r="764" spans="1:15">
      <c r="E764" s="262"/>
      <c r="F764" s="262"/>
      <c r="G764" s="246"/>
      <c r="H764" s="246"/>
    </row>
    <row r="765" spans="1:15">
      <c r="E765" s="262"/>
      <c r="F765" s="262"/>
      <c r="G765" s="246"/>
      <c r="H765" s="246"/>
    </row>
    <row r="766" spans="1:15">
      <c r="E766" s="262"/>
      <c r="F766" s="262"/>
      <c r="G766" s="246"/>
      <c r="H766" s="246"/>
    </row>
    <row r="767" spans="1:15">
      <c r="E767" s="262"/>
      <c r="F767" s="262"/>
      <c r="G767" s="246"/>
      <c r="H767" s="246"/>
    </row>
    <row r="768" spans="1:15">
      <c r="E768" s="262"/>
      <c r="F768" s="262"/>
      <c r="G768" s="246"/>
      <c r="H768" s="246"/>
    </row>
    <row r="769" spans="5:8">
      <c r="E769" s="262"/>
      <c r="F769" s="262"/>
      <c r="G769" s="246"/>
      <c r="H769" s="246"/>
    </row>
    <row r="770" spans="5:8">
      <c r="E770" s="262"/>
      <c r="F770" s="262"/>
      <c r="G770" s="246"/>
      <c r="H770" s="246"/>
    </row>
    <row r="771" spans="5:8">
      <c r="E771" s="262"/>
      <c r="F771" s="262"/>
      <c r="G771" s="246"/>
      <c r="H771" s="246"/>
    </row>
    <row r="772" spans="5:8">
      <c r="E772" s="262"/>
      <c r="F772" s="262"/>
      <c r="G772" s="246"/>
      <c r="H772" s="246"/>
    </row>
    <row r="773" spans="5:8">
      <c r="E773" s="262"/>
      <c r="F773" s="262"/>
      <c r="G773" s="246"/>
      <c r="H773" s="246"/>
    </row>
    <row r="774" spans="5:8">
      <c r="E774" s="262"/>
      <c r="F774" s="262"/>
      <c r="G774" s="246"/>
      <c r="H774" s="246"/>
    </row>
    <row r="775" spans="5:8">
      <c r="E775" s="262"/>
      <c r="F775" s="262"/>
      <c r="G775" s="246"/>
      <c r="H775" s="246"/>
    </row>
    <row r="776" spans="5:8">
      <c r="E776" s="262"/>
      <c r="F776" s="262"/>
      <c r="G776" s="246"/>
      <c r="H776" s="246"/>
    </row>
    <row r="777" spans="5:8">
      <c r="E777" s="262"/>
      <c r="F777" s="262"/>
      <c r="G777" s="246"/>
      <c r="H777" s="246"/>
    </row>
    <row r="778" spans="5:8">
      <c r="E778" s="262"/>
      <c r="F778" s="262"/>
      <c r="G778" s="246"/>
      <c r="H778" s="246"/>
    </row>
    <row r="779" spans="5:8">
      <c r="E779" s="262"/>
      <c r="F779" s="262"/>
      <c r="G779" s="246"/>
      <c r="H779" s="246"/>
    </row>
    <row r="780" spans="5:8">
      <c r="E780" s="262"/>
      <c r="F780" s="262"/>
      <c r="G780" s="246"/>
      <c r="H780" s="246"/>
    </row>
    <row r="781" spans="5:8">
      <c r="E781" s="262"/>
      <c r="F781" s="262"/>
      <c r="G781" s="246"/>
      <c r="H781" s="246"/>
    </row>
    <row r="782" spans="5:8">
      <c r="E782" s="262"/>
      <c r="F782" s="262"/>
      <c r="G782" s="246"/>
      <c r="H782" s="246"/>
    </row>
    <row r="783" spans="5:8">
      <c r="E783" s="262"/>
      <c r="F783" s="262"/>
      <c r="G783" s="246"/>
      <c r="H783" s="246"/>
    </row>
    <row r="784" spans="5:8">
      <c r="E784" s="262"/>
      <c r="F784" s="262"/>
      <c r="G784" s="246"/>
      <c r="H784" s="246"/>
    </row>
    <row r="785" spans="5:8">
      <c r="E785" s="262"/>
      <c r="F785" s="262"/>
      <c r="G785" s="246"/>
      <c r="H785" s="246"/>
    </row>
    <row r="786" spans="5:8">
      <c r="E786" s="262"/>
      <c r="F786" s="262"/>
      <c r="G786" s="246"/>
      <c r="H786" s="246"/>
    </row>
    <row r="787" spans="5:8">
      <c r="E787" s="262"/>
      <c r="F787" s="262"/>
      <c r="G787" s="246"/>
      <c r="H787" s="246"/>
    </row>
    <row r="788" spans="5:8">
      <c r="E788" s="262"/>
      <c r="F788" s="262"/>
      <c r="G788" s="246"/>
      <c r="H788" s="246"/>
    </row>
    <row r="789" spans="5:8">
      <c r="E789" s="262"/>
      <c r="F789" s="262"/>
      <c r="G789" s="246"/>
      <c r="H789" s="246"/>
    </row>
    <row r="790" spans="5:8">
      <c r="E790" s="262"/>
      <c r="F790" s="262"/>
      <c r="G790" s="246"/>
      <c r="H790" s="246"/>
    </row>
    <row r="791" spans="5:8">
      <c r="E791" s="262"/>
      <c r="F791" s="262"/>
      <c r="G791" s="246"/>
      <c r="H791" s="246"/>
    </row>
    <row r="792" spans="5:8">
      <c r="E792" s="262"/>
      <c r="F792" s="262"/>
      <c r="G792" s="246"/>
      <c r="H792" s="246"/>
    </row>
    <row r="793" spans="5:8">
      <c r="E793" s="262"/>
      <c r="F793" s="262"/>
      <c r="G793" s="246"/>
      <c r="H793" s="246"/>
    </row>
    <row r="794" spans="5:8">
      <c r="E794" s="262"/>
      <c r="F794" s="262"/>
      <c r="G794" s="246"/>
      <c r="H794" s="246"/>
    </row>
    <row r="795" spans="5:8">
      <c r="E795" s="262"/>
      <c r="F795" s="262"/>
      <c r="G795" s="246"/>
      <c r="H795" s="246"/>
    </row>
    <row r="796" spans="5:8">
      <c r="E796" s="262"/>
      <c r="F796" s="262"/>
      <c r="G796" s="246"/>
      <c r="H796" s="246"/>
    </row>
    <row r="797" spans="5:8">
      <c r="E797" s="262"/>
      <c r="F797" s="262"/>
      <c r="G797" s="246"/>
      <c r="H797" s="246"/>
    </row>
    <row r="798" spans="5:8">
      <c r="E798" s="262"/>
      <c r="F798" s="262"/>
      <c r="G798" s="246"/>
      <c r="H798" s="246"/>
    </row>
    <row r="799" spans="5:8">
      <c r="E799" s="262"/>
      <c r="F799" s="262"/>
      <c r="G799" s="246"/>
      <c r="H799" s="246"/>
    </row>
    <row r="800" spans="5:8">
      <c r="E800" s="262"/>
      <c r="F800" s="262"/>
      <c r="G800" s="246"/>
      <c r="H800" s="246"/>
    </row>
    <row r="801" spans="5:8">
      <c r="E801" s="262"/>
      <c r="F801" s="262"/>
      <c r="G801" s="246"/>
      <c r="H801" s="246"/>
    </row>
    <row r="802" spans="5:8">
      <c r="E802" s="262"/>
      <c r="F802" s="262"/>
      <c r="G802" s="246"/>
      <c r="H802" s="246"/>
    </row>
    <row r="803" spans="5:8">
      <c r="E803" s="262"/>
      <c r="F803" s="262"/>
      <c r="G803" s="246"/>
      <c r="H803" s="246"/>
    </row>
    <row r="804" spans="5:8">
      <c r="E804" s="262"/>
      <c r="F804" s="262"/>
      <c r="G804" s="246"/>
      <c r="H804" s="246"/>
    </row>
    <row r="805" spans="5:8">
      <c r="E805" s="262"/>
      <c r="F805" s="262"/>
      <c r="G805" s="246"/>
      <c r="H805" s="246"/>
    </row>
    <row r="806" spans="5:8">
      <c r="E806" s="262"/>
      <c r="F806" s="262"/>
      <c r="G806" s="246"/>
      <c r="H806" s="246"/>
    </row>
    <row r="807" spans="5:8">
      <c r="E807" s="262"/>
      <c r="F807" s="262"/>
      <c r="G807" s="246"/>
      <c r="H807" s="246"/>
    </row>
    <row r="808" spans="5:8">
      <c r="E808" s="262"/>
      <c r="F808" s="262"/>
      <c r="G808" s="246"/>
      <c r="H808" s="246"/>
    </row>
    <row r="809" spans="5:8">
      <c r="E809" s="262"/>
      <c r="F809" s="262"/>
      <c r="G809" s="246"/>
      <c r="H809" s="246"/>
    </row>
    <row r="810" spans="5:8">
      <c r="E810" s="262"/>
      <c r="F810" s="262"/>
      <c r="G810" s="246"/>
      <c r="H810" s="246"/>
    </row>
    <row r="811" spans="5:8">
      <c r="E811" s="262"/>
      <c r="F811" s="262"/>
      <c r="G811" s="246"/>
      <c r="H811" s="246"/>
    </row>
    <row r="812" spans="5:8">
      <c r="E812" s="262"/>
      <c r="F812" s="262"/>
      <c r="G812" s="246"/>
      <c r="H812" s="246"/>
    </row>
    <row r="813" spans="5:8">
      <c r="E813" s="262"/>
      <c r="F813" s="262"/>
      <c r="G813" s="246"/>
      <c r="H813" s="246"/>
    </row>
    <row r="814" spans="5:8">
      <c r="E814" s="262"/>
      <c r="F814" s="262"/>
      <c r="G814" s="246"/>
      <c r="H814" s="246"/>
    </row>
    <row r="815" spans="5:8">
      <c r="E815" s="262"/>
      <c r="F815" s="262"/>
      <c r="G815" s="246"/>
      <c r="H815" s="246"/>
    </row>
    <row r="816" spans="5:8">
      <c r="E816" s="262"/>
      <c r="F816" s="262"/>
      <c r="G816" s="246"/>
      <c r="H816" s="246"/>
    </row>
    <row r="817" spans="5:8">
      <c r="E817" s="262"/>
      <c r="F817" s="262"/>
      <c r="G817" s="246"/>
      <c r="H817" s="246"/>
    </row>
    <row r="818" spans="5:8">
      <c r="E818" s="262"/>
      <c r="F818" s="262"/>
      <c r="G818" s="246"/>
      <c r="H818" s="246"/>
    </row>
    <row r="819" spans="5:8">
      <c r="E819" s="262"/>
      <c r="F819" s="262"/>
      <c r="G819" s="246"/>
      <c r="H819" s="246"/>
    </row>
    <row r="820" spans="5:8">
      <c r="E820" s="262"/>
      <c r="F820" s="262"/>
      <c r="G820" s="246"/>
      <c r="H820" s="246"/>
    </row>
    <row r="821" spans="5:8">
      <c r="E821" s="262"/>
      <c r="F821" s="262"/>
      <c r="G821" s="246"/>
      <c r="H821" s="246"/>
    </row>
    <row r="822" spans="5:8">
      <c r="E822" s="262"/>
      <c r="F822" s="262"/>
      <c r="G822" s="246"/>
      <c r="H822" s="246"/>
    </row>
    <row r="823" spans="5:8">
      <c r="E823" s="262"/>
      <c r="F823" s="262"/>
      <c r="G823" s="246"/>
      <c r="H823" s="246"/>
    </row>
    <row r="824" spans="5:8">
      <c r="E824" s="262"/>
      <c r="F824" s="262"/>
      <c r="G824" s="246"/>
      <c r="H824" s="246"/>
    </row>
    <row r="825" spans="5:8">
      <c r="E825" s="262"/>
      <c r="F825" s="262"/>
      <c r="G825" s="246"/>
      <c r="H825" s="246"/>
    </row>
    <row r="826" spans="5:8">
      <c r="E826" s="262"/>
      <c r="F826" s="262"/>
      <c r="G826" s="246"/>
      <c r="H826" s="246"/>
    </row>
    <row r="827" spans="5:8">
      <c r="E827" s="262"/>
      <c r="F827" s="262"/>
      <c r="G827" s="246"/>
      <c r="H827" s="246"/>
    </row>
    <row r="828" spans="5:8">
      <c r="E828" s="262"/>
      <c r="F828" s="262"/>
      <c r="G828" s="246"/>
      <c r="H828" s="246"/>
    </row>
    <row r="829" spans="5:8">
      <c r="E829" s="262"/>
      <c r="F829" s="262"/>
      <c r="G829" s="246"/>
      <c r="H829" s="246"/>
    </row>
    <row r="830" spans="5:8">
      <c r="E830" s="262"/>
      <c r="F830" s="262"/>
      <c r="G830" s="246"/>
      <c r="H830" s="246"/>
    </row>
    <row r="831" spans="5:8">
      <c r="E831" s="262"/>
      <c r="F831" s="262"/>
      <c r="G831" s="246"/>
      <c r="H831" s="246"/>
    </row>
    <row r="832" spans="5:8">
      <c r="E832" s="262"/>
      <c r="F832" s="262"/>
      <c r="G832" s="246"/>
      <c r="H832" s="246"/>
    </row>
    <row r="833" spans="5:8">
      <c r="E833" s="262"/>
      <c r="F833" s="262"/>
      <c r="G833" s="246"/>
      <c r="H833" s="246"/>
    </row>
    <row r="834" spans="5:8">
      <c r="E834" s="262"/>
      <c r="F834" s="262"/>
      <c r="G834" s="246"/>
      <c r="H834" s="246"/>
    </row>
    <row r="835" spans="5:8">
      <c r="E835" s="262"/>
      <c r="F835" s="262"/>
      <c r="G835" s="246"/>
      <c r="H835" s="246"/>
    </row>
    <row r="836" spans="5:8">
      <c r="E836" s="262"/>
      <c r="F836" s="262"/>
      <c r="G836" s="246"/>
      <c r="H836" s="246"/>
    </row>
    <row r="837" spans="5:8">
      <c r="E837" s="262"/>
      <c r="F837" s="262"/>
      <c r="G837" s="246"/>
      <c r="H837" s="246"/>
    </row>
    <row r="838" spans="5:8">
      <c r="E838" s="262"/>
      <c r="F838" s="262"/>
      <c r="G838" s="246"/>
      <c r="H838" s="246"/>
    </row>
    <row r="839" spans="5:8">
      <c r="E839" s="262"/>
      <c r="F839" s="262"/>
      <c r="G839" s="246"/>
      <c r="H839" s="246"/>
    </row>
    <row r="840" spans="5:8">
      <c r="E840" s="262"/>
      <c r="F840" s="262"/>
      <c r="G840" s="246"/>
      <c r="H840" s="246"/>
    </row>
    <row r="841" spans="5:8">
      <c r="E841" s="262"/>
      <c r="F841" s="262"/>
      <c r="G841" s="246"/>
      <c r="H841" s="246"/>
    </row>
    <row r="842" spans="5:8">
      <c r="E842" s="262"/>
      <c r="F842" s="262"/>
      <c r="G842" s="246"/>
      <c r="H842" s="246"/>
    </row>
    <row r="843" spans="5:8">
      <c r="E843" s="262"/>
      <c r="F843" s="262"/>
      <c r="G843" s="246"/>
      <c r="H843" s="246"/>
    </row>
    <row r="844" spans="5:8">
      <c r="E844" s="262"/>
      <c r="F844" s="262"/>
      <c r="G844" s="246"/>
      <c r="H844" s="246"/>
    </row>
    <row r="845" spans="5:8">
      <c r="E845" s="262"/>
      <c r="F845" s="262"/>
      <c r="G845" s="246"/>
      <c r="H845" s="246"/>
    </row>
    <row r="846" spans="5:8">
      <c r="E846" s="262"/>
      <c r="F846" s="262"/>
      <c r="G846" s="246"/>
      <c r="H846" s="246"/>
    </row>
    <row r="847" spans="5:8">
      <c r="E847" s="262"/>
      <c r="F847" s="262"/>
      <c r="G847" s="246"/>
      <c r="H847" s="246"/>
    </row>
    <row r="848" spans="5:8">
      <c r="E848" s="262"/>
      <c r="F848" s="262"/>
      <c r="G848" s="246"/>
      <c r="H848" s="246"/>
    </row>
    <row r="849" spans="5:8">
      <c r="E849" s="262"/>
      <c r="F849" s="262"/>
      <c r="G849" s="246"/>
      <c r="H849" s="246"/>
    </row>
    <row r="850" spans="5:8">
      <c r="E850" s="262"/>
      <c r="F850" s="262"/>
      <c r="G850" s="246"/>
      <c r="H850" s="246"/>
    </row>
    <row r="851" spans="5:8">
      <c r="E851" s="262"/>
      <c r="F851" s="262"/>
      <c r="G851" s="246"/>
      <c r="H851" s="246"/>
    </row>
    <row r="852" spans="5:8">
      <c r="E852" s="262"/>
      <c r="F852" s="262"/>
      <c r="G852" s="246"/>
      <c r="H852" s="246"/>
    </row>
    <row r="853" spans="5:8">
      <c r="E853" s="262"/>
      <c r="F853" s="262"/>
      <c r="G853" s="246"/>
      <c r="H853" s="246"/>
    </row>
    <row r="854" spans="5:8">
      <c r="E854" s="262"/>
      <c r="F854" s="262"/>
      <c r="G854" s="246"/>
      <c r="H854" s="246"/>
    </row>
    <row r="855" spans="5:8">
      <c r="E855" s="262"/>
      <c r="F855" s="262"/>
      <c r="G855" s="246"/>
      <c r="H855" s="246"/>
    </row>
    <row r="856" spans="5:8">
      <c r="E856" s="262"/>
      <c r="F856" s="262"/>
      <c r="G856" s="246"/>
      <c r="H856" s="246"/>
    </row>
    <row r="857" spans="5:8">
      <c r="E857" s="262"/>
      <c r="F857" s="262"/>
      <c r="G857" s="246"/>
      <c r="H857" s="246"/>
    </row>
    <row r="858" spans="5:8">
      <c r="E858" s="262"/>
      <c r="F858" s="262"/>
      <c r="G858" s="246"/>
      <c r="H858" s="246"/>
    </row>
    <row r="859" spans="5:8">
      <c r="E859" s="262"/>
      <c r="F859" s="262"/>
      <c r="G859" s="246"/>
      <c r="H859" s="246"/>
    </row>
    <row r="860" spans="5:8">
      <c r="E860" s="262"/>
      <c r="F860" s="262"/>
      <c r="G860" s="246"/>
      <c r="H860" s="246"/>
    </row>
    <row r="861" spans="5:8">
      <c r="E861" s="262"/>
      <c r="F861" s="262"/>
      <c r="G861" s="246"/>
      <c r="H861" s="246"/>
    </row>
    <row r="862" spans="5:8">
      <c r="E862" s="262"/>
      <c r="F862" s="262"/>
      <c r="G862" s="246"/>
      <c r="H862" s="246"/>
    </row>
    <row r="863" spans="5:8">
      <c r="E863" s="262"/>
      <c r="F863" s="262"/>
      <c r="G863" s="246"/>
      <c r="H863" s="246"/>
    </row>
    <row r="864" spans="5:8">
      <c r="E864" s="262"/>
      <c r="F864" s="262"/>
      <c r="G864" s="246"/>
      <c r="H864" s="246"/>
    </row>
    <row r="865" spans="5:8">
      <c r="E865" s="262"/>
      <c r="F865" s="262"/>
      <c r="G865" s="246"/>
      <c r="H865" s="246"/>
    </row>
    <row r="866" spans="5:8">
      <c r="E866" s="262"/>
      <c r="F866" s="262"/>
      <c r="G866" s="246"/>
      <c r="H866" s="246"/>
    </row>
    <row r="867" spans="5:8">
      <c r="E867" s="262"/>
      <c r="F867" s="262"/>
      <c r="G867" s="246"/>
      <c r="H867" s="246"/>
    </row>
    <row r="868" spans="5:8">
      <c r="E868" s="262"/>
      <c r="F868" s="262"/>
      <c r="G868" s="246"/>
      <c r="H868" s="246"/>
    </row>
    <row r="869" spans="5:8">
      <c r="E869" s="262"/>
      <c r="F869" s="262"/>
      <c r="G869" s="246"/>
      <c r="H869" s="246"/>
    </row>
    <row r="870" spans="5:8">
      <c r="E870" s="262"/>
      <c r="F870" s="262"/>
      <c r="G870" s="246"/>
      <c r="H870" s="246"/>
    </row>
    <row r="871" spans="5:8">
      <c r="E871" s="262"/>
      <c r="F871" s="262"/>
      <c r="G871" s="246"/>
      <c r="H871" s="246"/>
    </row>
    <row r="872" spans="5:8">
      <c r="E872" s="262"/>
      <c r="F872" s="262"/>
      <c r="G872" s="246"/>
      <c r="H872" s="246"/>
    </row>
    <row r="873" spans="5:8">
      <c r="E873" s="262"/>
      <c r="F873" s="262"/>
      <c r="G873" s="246"/>
      <c r="H873" s="246"/>
    </row>
    <row r="874" spans="5:8">
      <c r="E874" s="262"/>
      <c r="F874" s="262"/>
      <c r="G874" s="246"/>
      <c r="H874" s="246"/>
    </row>
    <row r="875" spans="5:8">
      <c r="E875" s="262"/>
      <c r="F875" s="262"/>
      <c r="G875" s="246"/>
      <c r="H875" s="246"/>
    </row>
    <row r="876" spans="5:8">
      <c r="E876" s="262"/>
      <c r="F876" s="262"/>
      <c r="G876" s="246"/>
      <c r="H876" s="246"/>
    </row>
    <row r="877" spans="5:8">
      <c r="E877" s="262"/>
      <c r="F877" s="262"/>
      <c r="G877" s="246"/>
      <c r="H877" s="246"/>
    </row>
    <row r="878" spans="5:8">
      <c r="E878" s="262"/>
      <c r="F878" s="262"/>
      <c r="G878" s="246"/>
      <c r="H878" s="246"/>
    </row>
    <row r="879" spans="5:8">
      <c r="E879" s="262"/>
      <c r="F879" s="262"/>
      <c r="G879" s="246"/>
      <c r="H879" s="246"/>
    </row>
    <row r="880" spans="5:8">
      <c r="E880" s="262"/>
      <c r="F880" s="262"/>
      <c r="G880" s="246"/>
      <c r="H880" s="246"/>
    </row>
    <row r="881" spans="5:8">
      <c r="E881" s="262"/>
      <c r="F881" s="262"/>
      <c r="G881" s="246"/>
      <c r="H881" s="246"/>
    </row>
    <row r="882" spans="5:8">
      <c r="E882" s="262"/>
      <c r="F882" s="262"/>
      <c r="G882" s="246"/>
      <c r="H882" s="246"/>
    </row>
    <row r="883" spans="5:8">
      <c r="E883" s="262"/>
      <c r="F883" s="262"/>
      <c r="G883" s="246"/>
      <c r="H883" s="246"/>
    </row>
    <row r="884" spans="5:8">
      <c r="E884" s="262"/>
      <c r="F884" s="262"/>
      <c r="G884" s="246"/>
      <c r="H884" s="246"/>
    </row>
    <row r="885" spans="5:8">
      <c r="E885" s="262"/>
      <c r="F885" s="262"/>
      <c r="G885" s="246"/>
      <c r="H885" s="246"/>
    </row>
    <row r="886" spans="5:8">
      <c r="E886" s="262"/>
      <c r="F886" s="262"/>
      <c r="G886" s="246"/>
      <c r="H886" s="246"/>
    </row>
    <row r="887" spans="5:8">
      <c r="E887" s="262"/>
      <c r="F887" s="262"/>
      <c r="G887" s="246"/>
      <c r="H887" s="246"/>
    </row>
    <row r="888" spans="5:8">
      <c r="E888" s="262"/>
      <c r="F888" s="262"/>
      <c r="G888" s="246"/>
      <c r="H888" s="246"/>
    </row>
    <row r="889" spans="5:8">
      <c r="E889" s="262"/>
      <c r="F889" s="262"/>
      <c r="G889" s="246"/>
      <c r="H889" s="246"/>
    </row>
    <row r="890" spans="5:8">
      <c r="E890" s="262"/>
      <c r="F890" s="262"/>
      <c r="G890" s="246"/>
      <c r="H890" s="246"/>
    </row>
    <row r="891" spans="5:8">
      <c r="E891" s="262"/>
      <c r="F891" s="262"/>
      <c r="G891" s="246"/>
      <c r="H891" s="246"/>
    </row>
    <row r="892" spans="5:8">
      <c r="E892" s="262"/>
      <c r="F892" s="262"/>
      <c r="G892" s="246"/>
      <c r="H892" s="246"/>
    </row>
    <row r="893" spans="5:8">
      <c r="E893" s="262"/>
      <c r="F893" s="262"/>
      <c r="G893" s="246"/>
      <c r="H893" s="246"/>
    </row>
    <row r="894" spans="5:8">
      <c r="E894" s="262"/>
      <c r="F894" s="262"/>
      <c r="G894" s="246"/>
      <c r="H894" s="246"/>
    </row>
    <row r="895" spans="5:8">
      <c r="E895" s="262"/>
      <c r="F895" s="262"/>
      <c r="G895" s="246"/>
      <c r="H895" s="246"/>
    </row>
    <row r="896" spans="5:8">
      <c r="E896" s="262"/>
      <c r="F896" s="262"/>
      <c r="G896" s="246"/>
      <c r="H896" s="246"/>
    </row>
    <row r="897" spans="5:8">
      <c r="E897" s="262"/>
      <c r="F897" s="262"/>
      <c r="G897" s="246"/>
      <c r="H897" s="246"/>
    </row>
    <row r="898" spans="5:8">
      <c r="E898" s="262"/>
      <c r="F898" s="262"/>
      <c r="G898" s="246"/>
      <c r="H898" s="246"/>
    </row>
    <row r="899" spans="5:8">
      <c r="E899" s="262"/>
      <c r="F899" s="262"/>
      <c r="G899" s="246"/>
      <c r="H899" s="246"/>
    </row>
    <row r="900" spans="5:8">
      <c r="E900" s="262"/>
      <c r="F900" s="262"/>
      <c r="G900" s="246"/>
      <c r="H900" s="246"/>
    </row>
    <row r="901" spans="5:8">
      <c r="E901" s="262"/>
      <c r="F901" s="262"/>
      <c r="G901" s="246"/>
      <c r="H901" s="246"/>
    </row>
    <row r="902" spans="5:8">
      <c r="E902" s="262"/>
      <c r="F902" s="262"/>
      <c r="G902" s="246"/>
      <c r="H902" s="246"/>
    </row>
    <row r="903" spans="5:8">
      <c r="E903" s="262"/>
      <c r="F903" s="262"/>
      <c r="G903" s="246"/>
      <c r="H903" s="246"/>
    </row>
    <row r="904" spans="5:8">
      <c r="E904" s="262"/>
      <c r="F904" s="262"/>
      <c r="G904" s="246"/>
      <c r="H904" s="246"/>
    </row>
    <row r="905" spans="5:8">
      <c r="E905" s="262"/>
      <c r="F905" s="262"/>
      <c r="G905" s="246"/>
      <c r="H905" s="246"/>
    </row>
    <row r="906" spans="5:8">
      <c r="E906" s="262"/>
      <c r="F906" s="262"/>
      <c r="G906" s="246"/>
      <c r="H906" s="246"/>
    </row>
    <row r="907" spans="5:8">
      <c r="E907" s="262"/>
      <c r="F907" s="262"/>
      <c r="G907" s="246"/>
      <c r="H907" s="246"/>
    </row>
    <row r="908" spans="5:8">
      <c r="E908" s="262"/>
      <c r="F908" s="262"/>
      <c r="G908" s="246"/>
      <c r="H908" s="246"/>
    </row>
    <row r="909" spans="5:8">
      <c r="E909" s="262"/>
      <c r="F909" s="262"/>
      <c r="G909" s="246"/>
      <c r="H909" s="246"/>
    </row>
    <row r="910" spans="5:8">
      <c r="E910" s="262"/>
      <c r="F910" s="262"/>
      <c r="G910" s="246"/>
      <c r="H910" s="246"/>
    </row>
    <row r="911" spans="5:8">
      <c r="E911" s="262"/>
      <c r="F911" s="262"/>
      <c r="G911" s="246"/>
      <c r="H911" s="246"/>
    </row>
    <row r="912" spans="5:8">
      <c r="E912" s="262"/>
      <c r="F912" s="262"/>
      <c r="G912" s="246"/>
      <c r="H912" s="246"/>
    </row>
    <row r="913" spans="5:8">
      <c r="E913" s="262"/>
      <c r="F913" s="262"/>
      <c r="G913" s="246"/>
      <c r="H913" s="246"/>
    </row>
    <row r="914" spans="5:8">
      <c r="E914" s="262"/>
      <c r="F914" s="262"/>
      <c r="G914" s="246"/>
      <c r="H914" s="246"/>
    </row>
    <row r="915" spans="5:8">
      <c r="E915" s="262"/>
      <c r="F915" s="262"/>
      <c r="G915" s="246"/>
      <c r="H915" s="246"/>
    </row>
    <row r="916" spans="5:8">
      <c r="E916" s="262"/>
      <c r="F916" s="262"/>
      <c r="G916" s="246"/>
      <c r="H916" s="246"/>
    </row>
    <row r="917" spans="5:8">
      <c r="E917" s="262"/>
      <c r="F917" s="262"/>
      <c r="G917" s="246"/>
      <c r="H917" s="246"/>
    </row>
    <row r="918" spans="5:8">
      <c r="E918" s="262"/>
      <c r="F918" s="262"/>
      <c r="G918" s="246"/>
      <c r="H918" s="246"/>
    </row>
    <row r="919" spans="5:8">
      <c r="E919" s="262"/>
      <c r="F919" s="262"/>
      <c r="G919" s="246"/>
      <c r="H919" s="246"/>
    </row>
    <row r="920" spans="5:8">
      <c r="E920" s="262"/>
      <c r="F920" s="262"/>
      <c r="G920" s="246"/>
      <c r="H920" s="246"/>
    </row>
    <row r="921" spans="5:8">
      <c r="E921" s="262"/>
      <c r="F921" s="262"/>
      <c r="G921" s="246"/>
      <c r="H921" s="246"/>
    </row>
    <row r="922" spans="5:8">
      <c r="E922" s="262"/>
      <c r="F922" s="262"/>
      <c r="G922" s="246"/>
      <c r="H922" s="246"/>
    </row>
    <row r="923" spans="5:8">
      <c r="E923" s="262"/>
      <c r="F923" s="262"/>
      <c r="G923" s="246"/>
      <c r="H923" s="246"/>
    </row>
    <row r="924" spans="5:8">
      <c r="E924" s="262"/>
      <c r="F924" s="262"/>
      <c r="G924" s="246"/>
      <c r="H924" s="246"/>
    </row>
    <row r="925" spans="5:8">
      <c r="E925" s="262"/>
      <c r="F925" s="262"/>
      <c r="G925" s="246"/>
      <c r="H925" s="246"/>
    </row>
    <row r="926" spans="5:8">
      <c r="E926" s="262"/>
      <c r="F926" s="262"/>
      <c r="G926" s="246"/>
      <c r="H926" s="246"/>
    </row>
    <row r="927" spans="5:8">
      <c r="E927" s="262"/>
      <c r="F927" s="262"/>
      <c r="G927" s="246"/>
      <c r="H927" s="246"/>
    </row>
    <row r="928" spans="5:8">
      <c r="E928" s="262"/>
      <c r="F928" s="262"/>
      <c r="G928" s="246"/>
      <c r="H928" s="246"/>
    </row>
    <row r="929" spans="5:8">
      <c r="E929" s="262"/>
      <c r="F929" s="262"/>
      <c r="G929" s="246"/>
      <c r="H929" s="246"/>
    </row>
    <row r="930" spans="5:8">
      <c r="E930" s="262"/>
      <c r="F930" s="262"/>
      <c r="G930" s="246"/>
      <c r="H930" s="246"/>
    </row>
    <row r="931" spans="5:8">
      <c r="E931" s="262"/>
      <c r="F931" s="262"/>
      <c r="G931" s="246"/>
      <c r="H931" s="246"/>
    </row>
    <row r="932" spans="5:8">
      <c r="E932" s="262"/>
      <c r="F932" s="262"/>
      <c r="G932" s="246"/>
      <c r="H932" s="246"/>
    </row>
    <row r="933" spans="5:8">
      <c r="E933" s="262"/>
      <c r="F933" s="262"/>
      <c r="G933" s="246"/>
      <c r="H933" s="246"/>
    </row>
    <row r="934" spans="5:8">
      <c r="E934" s="262"/>
      <c r="F934" s="262"/>
      <c r="G934" s="246"/>
      <c r="H934" s="246"/>
    </row>
    <row r="935" spans="5:8">
      <c r="E935" s="262"/>
      <c r="F935" s="262"/>
      <c r="G935" s="246"/>
      <c r="H935" s="246"/>
    </row>
    <row r="936" spans="5:8">
      <c r="E936" s="262"/>
      <c r="F936" s="262"/>
      <c r="G936" s="246"/>
      <c r="H936" s="246"/>
    </row>
    <row r="937" spans="5:8">
      <c r="E937" s="262"/>
      <c r="F937" s="262"/>
      <c r="G937" s="246"/>
      <c r="H937" s="246"/>
    </row>
    <row r="938" spans="5:8">
      <c r="E938" s="262"/>
      <c r="F938" s="262"/>
      <c r="G938" s="246"/>
      <c r="H938" s="246"/>
    </row>
    <row r="939" spans="5:8">
      <c r="E939" s="262"/>
      <c r="F939" s="262"/>
      <c r="G939" s="246"/>
      <c r="H939" s="246"/>
    </row>
    <row r="940" spans="5:8">
      <c r="E940" s="262"/>
      <c r="F940" s="262"/>
      <c r="G940" s="246"/>
      <c r="H940" s="246"/>
    </row>
    <row r="941" spans="5:8">
      <c r="E941" s="262"/>
      <c r="F941" s="262"/>
      <c r="G941" s="246"/>
      <c r="H941" s="246"/>
    </row>
    <row r="942" spans="5:8">
      <c r="E942" s="262"/>
      <c r="F942" s="262"/>
      <c r="G942" s="246"/>
      <c r="H942" s="246"/>
    </row>
    <row r="943" spans="5:8">
      <c r="E943" s="262"/>
      <c r="F943" s="262"/>
      <c r="G943" s="246"/>
      <c r="H943" s="246"/>
    </row>
    <row r="944" spans="5:8">
      <c r="E944" s="262"/>
      <c r="F944" s="262"/>
      <c r="G944" s="246"/>
      <c r="H944" s="246"/>
    </row>
    <row r="945" spans="5:8">
      <c r="E945" s="262"/>
      <c r="F945" s="262"/>
      <c r="G945" s="246"/>
      <c r="H945" s="246"/>
    </row>
    <row r="946" spans="5:8">
      <c r="E946" s="262"/>
      <c r="F946" s="262"/>
      <c r="G946" s="246"/>
      <c r="H946" s="246"/>
    </row>
    <row r="947" spans="5:8">
      <c r="E947" s="262"/>
      <c r="F947" s="262"/>
      <c r="G947" s="246"/>
      <c r="H947" s="246"/>
    </row>
    <row r="948" spans="5:8">
      <c r="E948" s="262"/>
      <c r="F948" s="262"/>
      <c r="G948" s="246"/>
      <c r="H948" s="246"/>
    </row>
    <row r="949" spans="5:8">
      <c r="E949" s="262"/>
      <c r="F949" s="262"/>
      <c r="G949" s="246"/>
      <c r="H949" s="246"/>
    </row>
    <row r="950" spans="5:8">
      <c r="E950" s="262"/>
      <c r="F950" s="262"/>
      <c r="G950" s="246"/>
      <c r="H950" s="246"/>
    </row>
    <row r="951" spans="5:8">
      <c r="E951" s="262"/>
      <c r="F951" s="262"/>
      <c r="G951" s="246"/>
      <c r="H951" s="246"/>
    </row>
    <row r="952" spans="5:8">
      <c r="E952" s="262"/>
      <c r="F952" s="262"/>
      <c r="G952" s="246"/>
      <c r="H952" s="246"/>
    </row>
    <row r="953" spans="5:8">
      <c r="E953" s="262"/>
      <c r="F953" s="262"/>
      <c r="G953" s="246"/>
      <c r="H953" s="246"/>
    </row>
    <row r="954" spans="5:8">
      <c r="E954" s="262"/>
      <c r="F954" s="262"/>
      <c r="G954" s="246"/>
      <c r="H954" s="246"/>
    </row>
    <row r="955" spans="5:8">
      <c r="E955" s="262"/>
      <c r="F955" s="262"/>
      <c r="G955" s="246"/>
      <c r="H955" s="246"/>
    </row>
    <row r="956" spans="5:8">
      <c r="E956" s="262"/>
      <c r="F956" s="262"/>
      <c r="G956" s="246"/>
      <c r="H956" s="246"/>
    </row>
    <row r="957" spans="5:8">
      <c r="E957" s="262"/>
      <c r="F957" s="262"/>
      <c r="G957" s="246"/>
      <c r="H957" s="246"/>
    </row>
    <row r="958" spans="5:8">
      <c r="E958" s="262"/>
      <c r="F958" s="262"/>
      <c r="G958" s="246"/>
      <c r="H958" s="246"/>
    </row>
    <row r="959" spans="5:8">
      <c r="E959" s="262"/>
      <c r="F959" s="262"/>
      <c r="G959" s="246"/>
      <c r="H959" s="246"/>
    </row>
    <row r="960" spans="5:8">
      <c r="E960" s="262"/>
      <c r="F960" s="262"/>
      <c r="G960" s="246"/>
      <c r="H960" s="246"/>
    </row>
    <row r="961" spans="5:8">
      <c r="E961" s="262"/>
      <c r="F961" s="262"/>
      <c r="G961" s="246"/>
      <c r="H961" s="246"/>
    </row>
    <row r="962" spans="5:8">
      <c r="E962" s="262"/>
      <c r="F962" s="262"/>
      <c r="G962" s="246"/>
      <c r="H962" s="246"/>
    </row>
    <row r="963" spans="5:8">
      <c r="E963" s="262"/>
      <c r="F963" s="262"/>
      <c r="G963" s="246"/>
      <c r="H963" s="246"/>
    </row>
    <row r="964" spans="5:8">
      <c r="E964" s="262"/>
      <c r="F964" s="262"/>
      <c r="G964" s="246"/>
      <c r="H964" s="246"/>
    </row>
    <row r="965" spans="5:8">
      <c r="E965" s="262"/>
      <c r="F965" s="262"/>
      <c r="G965" s="246"/>
      <c r="H965" s="246"/>
    </row>
    <row r="966" spans="5:8">
      <c r="E966" s="262"/>
      <c r="F966" s="262"/>
      <c r="G966" s="246"/>
      <c r="H966" s="246"/>
    </row>
    <row r="967" spans="5:8">
      <c r="E967" s="262"/>
      <c r="F967" s="262"/>
      <c r="G967" s="246"/>
      <c r="H967" s="246"/>
    </row>
    <row r="968" spans="5:8">
      <c r="E968" s="262"/>
      <c r="F968" s="262"/>
      <c r="G968" s="246"/>
      <c r="H968" s="246"/>
    </row>
    <row r="969" spans="5:8">
      <c r="E969" s="262"/>
      <c r="F969" s="262"/>
      <c r="G969" s="246"/>
      <c r="H969" s="246"/>
    </row>
    <row r="970" spans="5:8">
      <c r="E970" s="262"/>
      <c r="F970" s="262"/>
      <c r="G970" s="246"/>
      <c r="H970" s="246"/>
    </row>
    <row r="971" spans="5:8">
      <c r="E971" s="262"/>
      <c r="F971" s="262"/>
      <c r="G971" s="246"/>
      <c r="H971" s="246"/>
    </row>
    <row r="972" spans="5:8">
      <c r="E972" s="262"/>
      <c r="F972" s="262"/>
      <c r="G972" s="246"/>
      <c r="H972" s="246"/>
    </row>
    <row r="973" spans="5:8">
      <c r="E973" s="262"/>
      <c r="F973" s="262"/>
      <c r="G973" s="246"/>
      <c r="H973" s="246"/>
    </row>
    <row r="974" spans="5:8">
      <c r="E974" s="262"/>
      <c r="F974" s="262"/>
      <c r="G974" s="246"/>
      <c r="H974" s="246"/>
    </row>
    <row r="975" spans="5:8">
      <c r="E975" s="262"/>
      <c r="F975" s="262"/>
      <c r="G975" s="246"/>
      <c r="H975" s="246"/>
    </row>
    <row r="976" spans="5:8">
      <c r="E976" s="262"/>
      <c r="F976" s="262"/>
      <c r="G976" s="246"/>
      <c r="H976" s="246"/>
    </row>
    <row r="977" spans="5:8">
      <c r="E977" s="262"/>
      <c r="F977" s="262"/>
      <c r="G977" s="246"/>
      <c r="H977" s="246"/>
    </row>
    <row r="978" spans="5:8">
      <c r="E978" s="262"/>
      <c r="F978" s="262"/>
      <c r="G978" s="246"/>
      <c r="H978" s="246"/>
    </row>
    <row r="979" spans="5:8">
      <c r="E979" s="262"/>
      <c r="F979" s="262"/>
      <c r="G979" s="246"/>
      <c r="H979" s="246"/>
    </row>
    <row r="980" spans="5:8">
      <c r="E980" s="262"/>
      <c r="F980" s="262"/>
      <c r="G980" s="246"/>
      <c r="H980" s="246"/>
    </row>
    <row r="981" spans="5:8">
      <c r="E981" s="262"/>
      <c r="F981" s="262"/>
      <c r="G981" s="246"/>
      <c r="H981" s="246"/>
    </row>
    <row r="982" spans="5:8">
      <c r="E982" s="262"/>
      <c r="F982" s="262"/>
      <c r="G982" s="246"/>
      <c r="H982" s="246"/>
    </row>
    <row r="983" spans="5:8">
      <c r="E983" s="262"/>
      <c r="F983" s="262"/>
      <c r="G983" s="246"/>
      <c r="H983" s="246"/>
    </row>
    <row r="984" spans="5:8">
      <c r="E984" s="262"/>
      <c r="F984" s="262"/>
      <c r="G984" s="246"/>
      <c r="H984" s="246"/>
    </row>
    <row r="985" spans="5:8">
      <c r="E985" s="262"/>
      <c r="F985" s="262"/>
      <c r="G985" s="246"/>
      <c r="H985" s="246"/>
    </row>
    <row r="986" spans="5:8">
      <c r="E986" s="262"/>
      <c r="F986" s="262"/>
      <c r="G986" s="246"/>
      <c r="H986" s="246"/>
    </row>
    <row r="987" spans="5:8">
      <c r="E987" s="262"/>
      <c r="F987" s="262"/>
      <c r="G987" s="246"/>
      <c r="H987" s="246"/>
    </row>
    <row r="988" spans="5:8">
      <c r="E988" s="262"/>
      <c r="F988" s="262"/>
      <c r="G988" s="246"/>
      <c r="H988" s="246"/>
    </row>
    <row r="989" spans="5:8">
      <c r="E989" s="262"/>
      <c r="F989" s="262"/>
      <c r="G989" s="246"/>
      <c r="H989" s="246"/>
    </row>
    <row r="990" spans="5:8">
      <c r="E990" s="262"/>
      <c r="F990" s="262"/>
      <c r="G990" s="246"/>
      <c r="H990" s="246"/>
    </row>
    <row r="991" spans="5:8">
      <c r="E991" s="262"/>
      <c r="F991" s="262"/>
      <c r="G991" s="246"/>
      <c r="H991" s="246"/>
    </row>
    <row r="992" spans="5:8">
      <c r="E992" s="262"/>
      <c r="F992" s="262"/>
      <c r="G992" s="246"/>
      <c r="H992" s="246"/>
    </row>
    <row r="993" spans="5:8">
      <c r="E993" s="262"/>
      <c r="F993" s="262"/>
      <c r="G993" s="246"/>
      <c r="H993" s="246"/>
    </row>
    <row r="994" spans="5:8">
      <c r="E994" s="262"/>
      <c r="F994" s="262"/>
      <c r="G994" s="246"/>
      <c r="H994" s="246"/>
    </row>
    <row r="995" spans="5:8">
      <c r="E995" s="262"/>
      <c r="F995" s="262"/>
      <c r="G995" s="246"/>
      <c r="H995" s="246"/>
    </row>
    <row r="996" spans="5:8">
      <c r="E996" s="262"/>
      <c r="F996" s="262"/>
      <c r="G996" s="246"/>
      <c r="H996" s="246"/>
    </row>
    <row r="997" spans="5:8">
      <c r="E997" s="262"/>
      <c r="F997" s="262"/>
      <c r="G997" s="246"/>
      <c r="H997" s="246"/>
    </row>
    <row r="998" spans="5:8">
      <c r="E998" s="262"/>
      <c r="F998" s="262"/>
      <c r="G998" s="246"/>
      <c r="H998" s="246"/>
    </row>
    <row r="999" spans="5:8">
      <c r="E999" s="262"/>
      <c r="F999" s="262"/>
      <c r="G999" s="246"/>
      <c r="H999" s="246"/>
    </row>
    <row r="1000" spans="5:8">
      <c r="E1000" s="262"/>
      <c r="F1000" s="262"/>
      <c r="G1000" s="246"/>
      <c r="H1000" s="246"/>
    </row>
    <row r="1001" spans="5:8">
      <c r="E1001" s="262"/>
      <c r="F1001" s="262"/>
      <c r="G1001" s="246"/>
      <c r="H1001" s="246"/>
    </row>
    <row r="1002" spans="5:8">
      <c r="E1002" s="262"/>
      <c r="F1002" s="262"/>
      <c r="G1002" s="246"/>
      <c r="H1002" s="246"/>
    </row>
    <row r="1003" spans="5:8">
      <c r="E1003" s="262"/>
      <c r="F1003" s="262"/>
      <c r="G1003" s="246"/>
      <c r="H1003" s="246"/>
    </row>
    <row r="1004" spans="5:8">
      <c r="E1004" s="262"/>
      <c r="F1004" s="262"/>
      <c r="G1004" s="246"/>
      <c r="H1004" s="246"/>
    </row>
    <row r="1005" spans="5:8">
      <c r="E1005" s="262"/>
      <c r="F1005" s="262"/>
      <c r="G1005" s="246"/>
      <c r="H1005" s="246"/>
    </row>
    <row r="1006" spans="5:8">
      <c r="E1006" s="262"/>
      <c r="F1006" s="262"/>
      <c r="G1006" s="246"/>
      <c r="H1006" s="246"/>
    </row>
    <row r="1007" spans="5:8">
      <c r="E1007" s="262"/>
      <c r="F1007" s="262"/>
      <c r="G1007" s="246"/>
      <c r="H1007" s="246"/>
    </row>
    <row r="1008" spans="5:8">
      <c r="E1008" s="262"/>
      <c r="F1008" s="262"/>
      <c r="G1008" s="246"/>
      <c r="H1008" s="246"/>
    </row>
    <row r="1009" spans="5:8">
      <c r="E1009" s="262"/>
      <c r="F1009" s="262"/>
      <c r="G1009" s="246"/>
      <c r="H1009" s="246"/>
    </row>
    <row r="1010" spans="5:8">
      <c r="E1010" s="262"/>
      <c r="F1010" s="262"/>
      <c r="G1010" s="246"/>
      <c r="H1010" s="246"/>
    </row>
    <row r="1011" spans="5:8">
      <c r="E1011" s="262"/>
      <c r="F1011" s="262"/>
      <c r="G1011" s="246"/>
      <c r="H1011" s="246"/>
    </row>
    <row r="1012" spans="5:8">
      <c r="E1012" s="262"/>
      <c r="F1012" s="262"/>
      <c r="G1012" s="246"/>
      <c r="H1012" s="246"/>
    </row>
    <row r="1013" spans="5:8">
      <c r="E1013" s="262"/>
      <c r="F1013" s="262"/>
      <c r="G1013" s="246"/>
      <c r="H1013" s="246"/>
    </row>
    <row r="1014" spans="5:8">
      <c r="E1014" s="262"/>
      <c r="F1014" s="262"/>
      <c r="G1014" s="246"/>
      <c r="H1014" s="246"/>
    </row>
    <row r="1015" spans="5:8">
      <c r="E1015" s="262"/>
      <c r="F1015" s="262"/>
      <c r="G1015" s="246"/>
      <c r="H1015" s="246"/>
    </row>
    <row r="1016" spans="5:8">
      <c r="E1016" s="262"/>
      <c r="F1016" s="262"/>
      <c r="G1016" s="246"/>
      <c r="H1016" s="246"/>
    </row>
    <row r="1017" spans="5:8">
      <c r="E1017" s="262"/>
      <c r="F1017" s="262"/>
      <c r="G1017" s="246"/>
      <c r="H1017" s="246"/>
    </row>
    <row r="1018" spans="5:8">
      <c r="E1018" s="262"/>
      <c r="F1018" s="262"/>
      <c r="G1018" s="246"/>
      <c r="H1018" s="246"/>
    </row>
    <row r="1019" spans="5:8">
      <c r="E1019" s="262"/>
      <c r="F1019" s="262"/>
      <c r="G1019" s="246"/>
      <c r="H1019" s="246"/>
    </row>
    <row r="1020" spans="5:8">
      <c r="E1020" s="262"/>
      <c r="F1020" s="262"/>
      <c r="G1020" s="246"/>
      <c r="H1020" s="246"/>
    </row>
    <row r="1021" spans="5:8">
      <c r="E1021" s="262"/>
      <c r="F1021" s="262"/>
      <c r="G1021" s="246"/>
      <c r="H1021" s="246"/>
    </row>
    <row r="1022" spans="5:8">
      <c r="E1022" s="262"/>
      <c r="F1022" s="262"/>
      <c r="G1022" s="246"/>
      <c r="H1022" s="246"/>
    </row>
    <row r="1023" spans="5:8">
      <c r="E1023" s="262"/>
      <c r="F1023" s="262"/>
      <c r="G1023" s="246"/>
      <c r="H1023" s="246"/>
    </row>
    <row r="1024" spans="5:8">
      <c r="E1024" s="262"/>
      <c r="F1024" s="262"/>
      <c r="G1024" s="246"/>
      <c r="H1024" s="246"/>
    </row>
    <row r="1025" spans="5:8">
      <c r="E1025" s="262"/>
      <c r="F1025" s="262"/>
      <c r="G1025" s="246"/>
      <c r="H1025" s="246"/>
    </row>
    <row r="1026" spans="5:8">
      <c r="E1026" s="262"/>
      <c r="F1026" s="262"/>
      <c r="G1026" s="246"/>
      <c r="H1026" s="246"/>
    </row>
    <row r="1027" spans="5:8">
      <c r="E1027" s="262"/>
      <c r="F1027" s="262"/>
      <c r="G1027" s="246"/>
      <c r="H1027" s="246"/>
    </row>
    <row r="1028" spans="5:8">
      <c r="E1028" s="262"/>
      <c r="F1028" s="262"/>
      <c r="G1028" s="246"/>
      <c r="H1028" s="246"/>
    </row>
    <row r="1029" spans="5:8">
      <c r="E1029" s="262"/>
      <c r="F1029" s="262"/>
      <c r="G1029" s="246"/>
      <c r="H1029" s="246"/>
    </row>
    <row r="1030" spans="5:8">
      <c r="E1030" s="262"/>
      <c r="F1030" s="262"/>
      <c r="G1030" s="246"/>
      <c r="H1030" s="246"/>
    </row>
    <row r="1031" spans="5:8">
      <c r="E1031" s="262"/>
      <c r="F1031" s="262"/>
      <c r="G1031" s="246"/>
      <c r="H1031" s="246"/>
    </row>
    <row r="1032" spans="5:8">
      <c r="E1032" s="262"/>
      <c r="F1032" s="262"/>
      <c r="G1032" s="246"/>
      <c r="H1032" s="246"/>
    </row>
    <row r="1033" spans="5:8">
      <c r="E1033" s="262"/>
      <c r="F1033" s="262"/>
      <c r="G1033" s="246"/>
      <c r="H1033" s="246"/>
    </row>
    <row r="1034" spans="5:8">
      <c r="E1034" s="262"/>
      <c r="F1034" s="262"/>
      <c r="G1034" s="246"/>
      <c r="H1034" s="246"/>
    </row>
    <row r="1035" spans="5:8">
      <c r="E1035" s="262"/>
      <c r="F1035" s="262"/>
      <c r="G1035" s="246"/>
      <c r="H1035" s="246"/>
    </row>
    <row r="1036" spans="5:8">
      <c r="E1036" s="262"/>
      <c r="F1036" s="262"/>
      <c r="G1036" s="246"/>
      <c r="H1036" s="246"/>
    </row>
    <row r="1037" spans="5:8">
      <c r="E1037" s="262"/>
      <c r="F1037" s="262"/>
      <c r="G1037" s="246"/>
      <c r="H1037" s="246"/>
    </row>
    <row r="1038" spans="5:8">
      <c r="E1038" s="262"/>
      <c r="F1038" s="262"/>
      <c r="G1038" s="246"/>
      <c r="H1038" s="246"/>
    </row>
    <row r="1039" spans="5:8">
      <c r="E1039" s="262"/>
      <c r="F1039" s="262"/>
      <c r="G1039" s="246"/>
      <c r="H1039" s="246"/>
    </row>
    <row r="1040" spans="5:8">
      <c r="E1040" s="262"/>
      <c r="F1040" s="262"/>
      <c r="G1040" s="246"/>
      <c r="H1040" s="246"/>
    </row>
    <row r="1041" spans="5:8">
      <c r="E1041" s="262"/>
      <c r="F1041" s="262"/>
      <c r="G1041" s="246"/>
      <c r="H1041" s="246"/>
    </row>
    <row r="1042" spans="5:8">
      <c r="E1042" s="262"/>
      <c r="F1042" s="262"/>
      <c r="G1042" s="246"/>
      <c r="H1042" s="246"/>
    </row>
    <row r="1043" spans="5:8">
      <c r="E1043" s="262"/>
      <c r="F1043" s="262"/>
      <c r="G1043" s="246"/>
      <c r="H1043" s="246"/>
    </row>
    <row r="1044" spans="5:8">
      <c r="E1044" s="262"/>
      <c r="F1044" s="262"/>
      <c r="G1044" s="246"/>
      <c r="H1044" s="246"/>
    </row>
    <row r="1045" spans="5:8">
      <c r="E1045" s="262"/>
      <c r="F1045" s="262"/>
      <c r="G1045" s="246"/>
      <c r="H1045" s="246"/>
    </row>
    <row r="1046" spans="5:8">
      <c r="E1046" s="262"/>
      <c r="F1046" s="262"/>
      <c r="G1046" s="246"/>
      <c r="H1046" s="246"/>
    </row>
    <row r="1047" spans="5:8">
      <c r="E1047" s="262"/>
      <c r="F1047" s="262"/>
      <c r="G1047" s="246"/>
      <c r="H1047" s="246"/>
    </row>
    <row r="1048" spans="5:8">
      <c r="E1048" s="262"/>
      <c r="F1048" s="262"/>
      <c r="G1048" s="246"/>
      <c r="H1048" s="246"/>
    </row>
    <row r="1049" spans="5:8">
      <c r="E1049" s="262"/>
      <c r="F1049" s="262"/>
      <c r="G1049" s="246"/>
      <c r="H1049" s="246"/>
    </row>
    <row r="1050" spans="5:8">
      <c r="E1050" s="262"/>
      <c r="F1050" s="262"/>
      <c r="G1050" s="246"/>
      <c r="H1050" s="246"/>
    </row>
    <row r="1051" spans="5:8">
      <c r="E1051" s="262"/>
      <c r="F1051" s="262"/>
      <c r="G1051" s="246"/>
      <c r="H1051" s="246"/>
    </row>
    <row r="1052" spans="5:8">
      <c r="E1052" s="262"/>
      <c r="F1052" s="262"/>
      <c r="G1052" s="246"/>
      <c r="H1052" s="246"/>
    </row>
    <row r="1053" spans="5:8">
      <c r="E1053" s="262"/>
      <c r="F1053" s="262"/>
      <c r="G1053" s="246"/>
      <c r="H1053" s="246"/>
    </row>
    <row r="1054" spans="5:8">
      <c r="E1054" s="262"/>
      <c r="F1054" s="262"/>
      <c r="G1054" s="246"/>
      <c r="H1054" s="246"/>
    </row>
    <row r="1055" spans="5:8">
      <c r="E1055" s="262"/>
      <c r="F1055" s="262"/>
      <c r="G1055" s="246"/>
      <c r="H1055" s="246"/>
    </row>
    <row r="1056" spans="5:8">
      <c r="E1056" s="262"/>
      <c r="F1056" s="262"/>
      <c r="G1056" s="246"/>
      <c r="H1056" s="246"/>
    </row>
    <row r="1057" spans="5:8">
      <c r="E1057" s="262"/>
      <c r="F1057" s="262"/>
      <c r="G1057" s="246"/>
      <c r="H1057" s="246"/>
    </row>
    <row r="1058" spans="5:8">
      <c r="E1058" s="262"/>
      <c r="F1058" s="262"/>
      <c r="G1058" s="246"/>
      <c r="H1058" s="246"/>
    </row>
    <row r="1059" spans="5:8">
      <c r="E1059" s="262"/>
      <c r="F1059" s="262"/>
      <c r="G1059" s="246"/>
      <c r="H1059" s="246"/>
    </row>
    <row r="1060" spans="5:8">
      <c r="E1060" s="262"/>
      <c r="F1060" s="262"/>
      <c r="G1060" s="246"/>
      <c r="H1060" s="246"/>
    </row>
    <row r="1061" spans="5:8">
      <c r="E1061" s="262"/>
      <c r="F1061" s="262"/>
      <c r="G1061" s="246"/>
      <c r="H1061" s="246"/>
    </row>
    <row r="1062" spans="5:8">
      <c r="E1062" s="262"/>
      <c r="F1062" s="262"/>
      <c r="G1062" s="246"/>
      <c r="H1062" s="246"/>
    </row>
    <row r="1063" spans="5:8">
      <c r="E1063" s="262"/>
      <c r="F1063" s="262"/>
      <c r="G1063" s="246"/>
      <c r="H1063" s="246"/>
    </row>
    <row r="1064" spans="5:8">
      <c r="E1064" s="262"/>
      <c r="F1064" s="262"/>
      <c r="G1064" s="246"/>
      <c r="H1064" s="246"/>
    </row>
    <row r="1065" spans="5:8">
      <c r="E1065" s="262"/>
      <c r="F1065" s="262"/>
      <c r="G1065" s="246"/>
      <c r="H1065" s="246"/>
    </row>
    <row r="1066" spans="5:8">
      <c r="E1066" s="262"/>
      <c r="F1066" s="262"/>
      <c r="G1066" s="246"/>
      <c r="H1066" s="246"/>
    </row>
    <row r="1067" spans="5:8">
      <c r="E1067" s="262"/>
      <c r="F1067" s="262"/>
      <c r="G1067" s="246"/>
      <c r="H1067" s="246"/>
    </row>
    <row r="1068" spans="5:8">
      <c r="E1068" s="262"/>
      <c r="F1068" s="262"/>
      <c r="G1068" s="246"/>
      <c r="H1068" s="246"/>
    </row>
    <row r="1069" spans="5:8">
      <c r="E1069" s="262"/>
      <c r="F1069" s="262"/>
      <c r="G1069" s="246"/>
      <c r="H1069" s="246"/>
    </row>
    <row r="1070" spans="5:8">
      <c r="E1070" s="262"/>
      <c r="F1070" s="262"/>
      <c r="G1070" s="246"/>
      <c r="H1070" s="246"/>
    </row>
    <row r="1071" spans="5:8">
      <c r="E1071" s="262"/>
      <c r="F1071" s="262"/>
      <c r="G1071" s="246"/>
      <c r="H1071" s="246"/>
    </row>
    <row r="1072" spans="5:8">
      <c r="E1072" s="262"/>
      <c r="F1072" s="262"/>
      <c r="G1072" s="246"/>
      <c r="H1072" s="246"/>
    </row>
    <row r="1073" spans="5:8">
      <c r="E1073" s="262"/>
      <c r="F1073" s="262"/>
      <c r="G1073" s="246"/>
      <c r="H1073" s="246"/>
    </row>
    <row r="1074" spans="5:8">
      <c r="E1074" s="262"/>
      <c r="F1074" s="262"/>
      <c r="G1074" s="246"/>
      <c r="H1074" s="246"/>
    </row>
    <row r="1075" spans="5:8">
      <c r="E1075" s="262"/>
      <c r="F1075" s="262"/>
      <c r="G1075" s="246"/>
      <c r="H1075" s="246"/>
    </row>
    <row r="1076" spans="5:8">
      <c r="E1076" s="262"/>
      <c r="F1076" s="262"/>
      <c r="G1076" s="246"/>
      <c r="H1076" s="246"/>
    </row>
    <row r="1077" spans="5:8">
      <c r="E1077" s="262"/>
      <c r="F1077" s="262"/>
      <c r="G1077" s="246"/>
      <c r="H1077" s="246"/>
    </row>
    <row r="1078" spans="5:8">
      <c r="E1078" s="262"/>
      <c r="F1078" s="262"/>
      <c r="G1078" s="246"/>
      <c r="H1078" s="246"/>
    </row>
    <row r="1079" spans="5:8">
      <c r="E1079" s="262"/>
      <c r="F1079" s="262"/>
      <c r="G1079" s="246"/>
      <c r="H1079" s="246"/>
    </row>
    <row r="1080" spans="5:8">
      <c r="E1080" s="262"/>
      <c r="F1080" s="262"/>
      <c r="G1080" s="246"/>
      <c r="H1080" s="246"/>
    </row>
    <row r="1081" spans="5:8">
      <c r="E1081" s="262"/>
      <c r="F1081" s="262"/>
      <c r="G1081" s="246"/>
      <c r="H1081" s="246"/>
    </row>
    <row r="1082" spans="5:8">
      <c r="E1082" s="262"/>
      <c r="F1082" s="262"/>
      <c r="G1082" s="246"/>
      <c r="H1082" s="246"/>
    </row>
    <row r="1083" spans="5:8">
      <c r="E1083" s="262"/>
      <c r="F1083" s="262"/>
      <c r="G1083" s="246"/>
      <c r="H1083" s="246"/>
    </row>
  </sheetData>
  <autoFilter ref="A1:O756">
    <sortState ref="A2:O756">
      <sortCondition ref="A1:A756"/>
    </sortState>
  </autoFilter>
  <phoneticPr fontId="28" type="noConversion"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K931"/>
  <sheetViews>
    <sheetView zoomScale="85" zoomScaleNormal="85" workbookViewId="0">
      <selection activeCell="B729" sqref="B729"/>
    </sheetView>
  </sheetViews>
  <sheetFormatPr baseColWidth="10" defaultColWidth="8.69921875" defaultRowHeight="13.8"/>
  <cols>
    <col min="1" max="1" width="16.09765625" customWidth="1"/>
    <col min="2" max="2" width="78.69921875" customWidth="1"/>
    <col min="3" max="3" width="23.3984375" customWidth="1"/>
    <col min="4" max="7" width="17.09765625" style="71" customWidth="1"/>
    <col min="8" max="9" width="17.09765625" customWidth="1"/>
    <col min="10" max="10" width="13.69921875" customWidth="1"/>
  </cols>
  <sheetData>
    <row r="1" spans="1:11" ht="15.6">
      <c r="A1" s="131"/>
      <c r="B1" s="132"/>
      <c r="C1" s="133" t="s">
        <v>140</v>
      </c>
      <c r="D1" s="132"/>
      <c r="E1" s="134"/>
      <c r="F1" s="134"/>
      <c r="G1" s="134"/>
      <c r="H1" s="135"/>
      <c r="I1" s="132"/>
      <c r="J1" s="132"/>
      <c r="K1" s="132"/>
    </row>
    <row r="2" spans="1:11" ht="15.6">
      <c r="A2" s="131"/>
      <c r="B2" s="132"/>
      <c r="C2" s="132"/>
      <c r="D2" s="132"/>
      <c r="E2" s="134"/>
      <c r="F2" s="134"/>
      <c r="G2" s="134"/>
      <c r="H2" s="135"/>
      <c r="I2" s="132"/>
      <c r="J2" s="132"/>
      <c r="K2" s="132"/>
    </row>
    <row r="3" spans="1:11" ht="15.6">
      <c r="A3" s="136" t="s">
        <v>0</v>
      </c>
      <c r="B3" s="137" t="s">
        <v>141</v>
      </c>
      <c r="C3" s="137" t="s">
        <v>142</v>
      </c>
      <c r="D3" s="137" t="s">
        <v>143</v>
      </c>
      <c r="E3" s="138" t="s">
        <v>144</v>
      </c>
      <c r="F3" s="138" t="s">
        <v>145</v>
      </c>
      <c r="G3" s="138"/>
      <c r="H3" s="206" t="s">
        <v>30</v>
      </c>
      <c r="I3" s="137" t="s">
        <v>146</v>
      </c>
      <c r="J3" s="137" t="s">
        <v>147</v>
      </c>
      <c r="K3" s="139"/>
    </row>
    <row r="4" spans="1:11" ht="15.6">
      <c r="A4" s="163">
        <v>46082</v>
      </c>
      <c r="B4" s="216" t="s">
        <v>857</v>
      </c>
      <c r="C4" s="170"/>
      <c r="D4" s="170"/>
      <c r="E4" s="173"/>
      <c r="F4" s="173"/>
      <c r="G4" s="173"/>
      <c r="H4" s="174">
        <v>-805519</v>
      </c>
      <c r="I4" s="175" t="s">
        <v>111</v>
      </c>
      <c r="J4" s="170"/>
      <c r="K4" s="176"/>
    </row>
    <row r="5" spans="1:11" ht="15.6">
      <c r="A5" s="341">
        <v>46083</v>
      </c>
      <c r="B5" s="124" t="s">
        <v>186</v>
      </c>
      <c r="C5" s="124" t="s">
        <v>337</v>
      </c>
      <c r="D5" s="398" t="s">
        <v>99</v>
      </c>
      <c r="E5" s="124"/>
      <c r="F5" s="124">
        <v>1000</v>
      </c>
      <c r="G5" s="173"/>
      <c r="H5" s="234">
        <f>H4+E5-F5</f>
        <v>-806519</v>
      </c>
      <c r="I5" s="401" t="s">
        <v>111</v>
      </c>
      <c r="J5" s="124" t="s">
        <v>380</v>
      </c>
      <c r="K5" s="176"/>
    </row>
    <row r="6" spans="1:11" ht="15.6">
      <c r="A6" s="341">
        <v>46083</v>
      </c>
      <c r="B6" s="75" t="s">
        <v>348</v>
      </c>
      <c r="C6" s="124" t="s">
        <v>102</v>
      </c>
      <c r="D6" s="398" t="s">
        <v>99</v>
      </c>
      <c r="E6" s="124">
        <v>250000</v>
      </c>
      <c r="F6" s="124"/>
      <c r="G6" s="173"/>
      <c r="H6" s="234">
        <f t="shared" ref="H6:H69" si="0">H5+E6-F6</f>
        <v>-556519</v>
      </c>
      <c r="I6" s="401" t="s">
        <v>111</v>
      </c>
      <c r="J6" s="124" t="s">
        <v>381</v>
      </c>
      <c r="K6" s="176"/>
    </row>
    <row r="7" spans="1:11" ht="15.6">
      <c r="A7" s="341">
        <v>46083</v>
      </c>
      <c r="B7" s="399" t="s">
        <v>349</v>
      </c>
      <c r="C7" s="124" t="s">
        <v>110</v>
      </c>
      <c r="D7" s="398" t="s">
        <v>99</v>
      </c>
      <c r="E7" s="124">
        <v>10000</v>
      </c>
      <c r="F7" s="124"/>
      <c r="G7" s="173"/>
      <c r="H7" s="234">
        <f t="shared" si="0"/>
        <v>-546519</v>
      </c>
      <c r="I7" s="401" t="s">
        <v>111</v>
      </c>
      <c r="J7" s="124" t="s">
        <v>382</v>
      </c>
      <c r="K7" s="176"/>
    </row>
    <row r="8" spans="1:11" ht="15.6">
      <c r="A8" s="341">
        <v>46083</v>
      </c>
      <c r="B8" s="399" t="s">
        <v>349</v>
      </c>
      <c r="C8" s="124" t="s">
        <v>110</v>
      </c>
      <c r="D8" s="398" t="s">
        <v>99</v>
      </c>
      <c r="E8" s="124"/>
      <c r="F8" s="124">
        <v>10000</v>
      </c>
      <c r="G8" s="173"/>
      <c r="H8" s="234">
        <f t="shared" si="0"/>
        <v>-556519</v>
      </c>
      <c r="I8" s="401" t="s">
        <v>111</v>
      </c>
      <c r="J8" s="124" t="s">
        <v>382</v>
      </c>
      <c r="K8" s="176"/>
    </row>
    <row r="9" spans="1:11" ht="15.6">
      <c r="A9" s="341">
        <v>46083</v>
      </c>
      <c r="B9" s="399" t="s">
        <v>350</v>
      </c>
      <c r="C9" s="124" t="s">
        <v>104</v>
      </c>
      <c r="D9" s="398" t="s">
        <v>99</v>
      </c>
      <c r="E9" s="124"/>
      <c r="F9" s="124">
        <v>250000</v>
      </c>
      <c r="G9" s="173"/>
      <c r="H9" s="234">
        <f t="shared" si="0"/>
        <v>-806519</v>
      </c>
      <c r="I9" s="401" t="s">
        <v>111</v>
      </c>
      <c r="J9" s="124" t="s">
        <v>383</v>
      </c>
      <c r="K9" s="176"/>
    </row>
    <row r="10" spans="1:11" ht="15.6">
      <c r="A10" s="212">
        <v>46083</v>
      </c>
      <c r="B10" s="75" t="s">
        <v>192</v>
      </c>
      <c r="C10" s="75" t="s">
        <v>337</v>
      </c>
      <c r="D10" s="400" t="s">
        <v>99</v>
      </c>
      <c r="E10" s="75"/>
      <c r="F10" s="75">
        <v>1000</v>
      </c>
      <c r="G10" s="173"/>
      <c r="H10" s="234">
        <f t="shared" si="0"/>
        <v>-807519</v>
      </c>
      <c r="I10" s="402" t="s">
        <v>111</v>
      </c>
      <c r="J10" s="124" t="s">
        <v>380</v>
      </c>
      <c r="K10" s="176"/>
    </row>
    <row r="11" spans="1:11" ht="15.6">
      <c r="A11" s="212">
        <v>46084</v>
      </c>
      <c r="B11" s="75" t="s">
        <v>186</v>
      </c>
      <c r="C11" s="75" t="s">
        <v>337</v>
      </c>
      <c r="D11" s="400" t="s">
        <v>99</v>
      </c>
      <c r="E11" s="75"/>
      <c r="F11" s="75">
        <v>1000</v>
      </c>
      <c r="G11" s="173"/>
      <c r="H11" s="234">
        <f t="shared" si="0"/>
        <v>-808519</v>
      </c>
      <c r="I11" s="402" t="s">
        <v>111</v>
      </c>
      <c r="J11" s="124" t="s">
        <v>380</v>
      </c>
      <c r="K11" s="176"/>
    </row>
    <row r="12" spans="1:11" ht="15.6">
      <c r="A12" s="212">
        <v>46084</v>
      </c>
      <c r="B12" s="75" t="s">
        <v>351</v>
      </c>
      <c r="C12" s="75" t="s">
        <v>337</v>
      </c>
      <c r="D12" s="400" t="s">
        <v>99</v>
      </c>
      <c r="E12" s="75"/>
      <c r="F12" s="75">
        <v>1000</v>
      </c>
      <c r="G12" s="173"/>
      <c r="H12" s="234">
        <f t="shared" si="0"/>
        <v>-809519</v>
      </c>
      <c r="I12" s="402" t="s">
        <v>111</v>
      </c>
      <c r="J12" s="124" t="s">
        <v>380</v>
      </c>
      <c r="K12" s="176"/>
    </row>
    <row r="13" spans="1:11" ht="15.6">
      <c r="A13" s="212">
        <v>46084</v>
      </c>
      <c r="B13" s="75" t="s">
        <v>352</v>
      </c>
      <c r="C13" s="75" t="s">
        <v>337</v>
      </c>
      <c r="D13" s="400" t="s">
        <v>99</v>
      </c>
      <c r="E13" s="75"/>
      <c r="F13" s="75">
        <v>1000</v>
      </c>
      <c r="G13" s="173"/>
      <c r="H13" s="234">
        <f t="shared" si="0"/>
        <v>-810519</v>
      </c>
      <c r="I13" s="402" t="s">
        <v>111</v>
      </c>
      <c r="J13" s="124" t="s">
        <v>380</v>
      </c>
      <c r="K13" s="176"/>
    </row>
    <row r="14" spans="1:11" ht="15.6">
      <c r="A14" s="212">
        <v>46084</v>
      </c>
      <c r="B14" s="75" t="s">
        <v>187</v>
      </c>
      <c r="C14" s="75" t="s">
        <v>337</v>
      </c>
      <c r="D14" s="400" t="s">
        <v>99</v>
      </c>
      <c r="E14" s="75"/>
      <c r="F14" s="75">
        <v>1000</v>
      </c>
      <c r="G14" s="173"/>
      <c r="H14" s="234">
        <f t="shared" si="0"/>
        <v>-811519</v>
      </c>
      <c r="I14" s="402" t="s">
        <v>111</v>
      </c>
      <c r="J14" s="124" t="s">
        <v>380</v>
      </c>
      <c r="K14" s="176"/>
    </row>
    <row r="15" spans="1:11" ht="15.6">
      <c r="A15" s="212">
        <v>46098</v>
      </c>
      <c r="B15" s="75" t="s">
        <v>353</v>
      </c>
      <c r="C15" s="75" t="s">
        <v>104</v>
      </c>
      <c r="D15" s="400" t="s">
        <v>99</v>
      </c>
      <c r="E15" s="94">
        <v>80500</v>
      </c>
      <c r="F15" s="75"/>
      <c r="G15" s="173"/>
      <c r="H15" s="234">
        <f t="shared" si="0"/>
        <v>-731019</v>
      </c>
      <c r="I15" s="75" t="s">
        <v>111</v>
      </c>
      <c r="J15" s="403" t="s">
        <v>384</v>
      </c>
      <c r="K15" s="176"/>
    </row>
    <row r="16" spans="1:11" ht="15.6">
      <c r="A16" s="212">
        <v>46098</v>
      </c>
      <c r="B16" s="75" t="s">
        <v>354</v>
      </c>
      <c r="C16" s="75" t="s">
        <v>104</v>
      </c>
      <c r="D16" s="400" t="s">
        <v>99</v>
      </c>
      <c r="E16" s="94">
        <v>129464</v>
      </c>
      <c r="F16" s="75"/>
      <c r="G16" s="173"/>
      <c r="H16" s="234">
        <f t="shared" si="0"/>
        <v>-601555</v>
      </c>
      <c r="I16" s="75" t="s">
        <v>111</v>
      </c>
      <c r="J16" s="403" t="s">
        <v>385</v>
      </c>
      <c r="K16" s="176"/>
    </row>
    <row r="17" spans="1:11" ht="15.6">
      <c r="A17" s="212">
        <v>46105</v>
      </c>
      <c r="B17" s="124" t="s">
        <v>355</v>
      </c>
      <c r="C17" s="124" t="s">
        <v>104</v>
      </c>
      <c r="D17" s="400" t="s">
        <v>99</v>
      </c>
      <c r="E17" s="94">
        <v>150000</v>
      </c>
      <c r="F17" s="75"/>
      <c r="G17" s="173"/>
      <c r="H17" s="234">
        <f t="shared" si="0"/>
        <v>-451555</v>
      </c>
      <c r="I17" s="75" t="s">
        <v>111</v>
      </c>
      <c r="J17" s="403" t="s">
        <v>386</v>
      </c>
      <c r="K17" s="176"/>
    </row>
    <row r="18" spans="1:11" ht="15.6">
      <c r="A18" s="212">
        <v>46098</v>
      </c>
      <c r="B18" s="75" t="s">
        <v>353</v>
      </c>
      <c r="C18" s="75" t="s">
        <v>104</v>
      </c>
      <c r="D18" s="400" t="s">
        <v>99</v>
      </c>
      <c r="E18" s="75"/>
      <c r="F18" s="94">
        <v>80500</v>
      </c>
      <c r="G18" s="173"/>
      <c r="H18" s="234">
        <f t="shared" si="0"/>
        <v>-532055</v>
      </c>
      <c r="I18" s="75" t="s">
        <v>111</v>
      </c>
      <c r="J18" s="403" t="s">
        <v>384</v>
      </c>
      <c r="K18" s="176"/>
    </row>
    <row r="19" spans="1:11" ht="15.6">
      <c r="A19" s="212">
        <v>46098</v>
      </c>
      <c r="B19" s="75" t="s">
        <v>354</v>
      </c>
      <c r="C19" s="75" t="s">
        <v>104</v>
      </c>
      <c r="D19" s="400" t="s">
        <v>99</v>
      </c>
      <c r="E19" s="75"/>
      <c r="F19" s="94">
        <v>129464</v>
      </c>
      <c r="G19" s="173"/>
      <c r="H19" s="234">
        <f t="shared" si="0"/>
        <v>-661519</v>
      </c>
      <c r="I19" s="75" t="s">
        <v>111</v>
      </c>
      <c r="J19" s="403" t="s">
        <v>385</v>
      </c>
      <c r="K19" s="176"/>
    </row>
    <row r="20" spans="1:11" ht="15.6">
      <c r="A20" s="212">
        <v>46105</v>
      </c>
      <c r="B20" s="124" t="s">
        <v>355</v>
      </c>
      <c r="C20" s="124" t="s">
        <v>104</v>
      </c>
      <c r="D20" s="400" t="s">
        <v>99</v>
      </c>
      <c r="E20" s="75"/>
      <c r="F20" s="94">
        <v>150000</v>
      </c>
      <c r="G20" s="173"/>
      <c r="H20" s="234">
        <f t="shared" si="0"/>
        <v>-811519</v>
      </c>
      <c r="I20" s="75" t="s">
        <v>111</v>
      </c>
      <c r="J20" s="403" t="s">
        <v>386</v>
      </c>
      <c r="K20" s="176"/>
    </row>
    <row r="21" spans="1:11" ht="15.6">
      <c r="A21" s="212">
        <v>46085</v>
      </c>
      <c r="B21" s="75" t="s">
        <v>186</v>
      </c>
      <c r="C21" s="75" t="s">
        <v>337</v>
      </c>
      <c r="D21" s="400" t="s">
        <v>99</v>
      </c>
      <c r="E21" s="75"/>
      <c r="F21" s="75">
        <v>1000</v>
      </c>
      <c r="G21" s="173"/>
      <c r="H21" s="234">
        <f t="shared" si="0"/>
        <v>-812519</v>
      </c>
      <c r="I21" s="402" t="s">
        <v>111</v>
      </c>
      <c r="J21" s="124" t="s">
        <v>380</v>
      </c>
      <c r="K21" s="176"/>
    </row>
    <row r="22" spans="1:11" ht="15.6">
      <c r="A22" s="212">
        <v>46085</v>
      </c>
      <c r="B22" s="75" t="s">
        <v>193</v>
      </c>
      <c r="C22" s="75" t="s">
        <v>337</v>
      </c>
      <c r="D22" s="400" t="s">
        <v>99</v>
      </c>
      <c r="E22" s="75"/>
      <c r="F22" s="75">
        <v>1000</v>
      </c>
      <c r="G22" s="173"/>
      <c r="H22" s="234">
        <f t="shared" si="0"/>
        <v>-813519</v>
      </c>
      <c r="I22" s="402" t="s">
        <v>111</v>
      </c>
      <c r="J22" s="124" t="s">
        <v>380</v>
      </c>
      <c r="K22" s="176"/>
    </row>
    <row r="23" spans="1:11" ht="15.6">
      <c r="A23" s="212">
        <v>46085</v>
      </c>
      <c r="B23" s="75" t="s">
        <v>315</v>
      </c>
      <c r="C23" s="75" t="s">
        <v>337</v>
      </c>
      <c r="D23" s="400" t="s">
        <v>99</v>
      </c>
      <c r="E23" s="75"/>
      <c r="F23" s="75">
        <v>1000</v>
      </c>
      <c r="G23" s="173"/>
      <c r="H23" s="234">
        <f t="shared" si="0"/>
        <v>-814519</v>
      </c>
      <c r="I23" s="402" t="s">
        <v>111</v>
      </c>
      <c r="J23" s="124" t="s">
        <v>380</v>
      </c>
      <c r="K23" s="176"/>
    </row>
    <row r="24" spans="1:11" ht="15.6">
      <c r="A24" s="212">
        <v>46085</v>
      </c>
      <c r="B24" s="75" t="s">
        <v>192</v>
      </c>
      <c r="C24" s="75" t="s">
        <v>337</v>
      </c>
      <c r="D24" s="400" t="s">
        <v>99</v>
      </c>
      <c r="E24" s="75"/>
      <c r="F24" s="75">
        <v>1000</v>
      </c>
      <c r="G24" s="173"/>
      <c r="H24" s="234">
        <f t="shared" si="0"/>
        <v>-815519</v>
      </c>
      <c r="I24" s="402" t="s">
        <v>111</v>
      </c>
      <c r="J24" s="124" t="s">
        <v>380</v>
      </c>
      <c r="K24" s="176"/>
    </row>
    <row r="25" spans="1:11" ht="15.6">
      <c r="A25" s="212">
        <v>46086</v>
      </c>
      <c r="B25" s="75" t="s">
        <v>186</v>
      </c>
      <c r="C25" s="75" t="s">
        <v>337</v>
      </c>
      <c r="D25" s="400" t="s">
        <v>99</v>
      </c>
      <c r="E25" s="75"/>
      <c r="F25" s="75">
        <v>1000</v>
      </c>
      <c r="G25" s="173"/>
      <c r="H25" s="234">
        <f t="shared" si="0"/>
        <v>-816519</v>
      </c>
      <c r="I25" s="402" t="s">
        <v>111</v>
      </c>
      <c r="J25" s="124" t="s">
        <v>380</v>
      </c>
      <c r="K25" s="176"/>
    </row>
    <row r="26" spans="1:11" ht="15.6">
      <c r="A26" s="212">
        <v>46086</v>
      </c>
      <c r="B26" s="75" t="s">
        <v>205</v>
      </c>
      <c r="C26" s="75" t="s">
        <v>337</v>
      </c>
      <c r="D26" s="400" t="s">
        <v>99</v>
      </c>
      <c r="E26" s="75"/>
      <c r="F26" s="75">
        <v>1000</v>
      </c>
      <c r="G26" s="173"/>
      <c r="H26" s="234">
        <f t="shared" si="0"/>
        <v>-817519</v>
      </c>
      <c r="I26" s="402" t="s">
        <v>111</v>
      </c>
      <c r="J26" s="124" t="s">
        <v>380</v>
      </c>
      <c r="K26" s="176"/>
    </row>
    <row r="27" spans="1:11" ht="15.6">
      <c r="A27" s="212">
        <v>46086</v>
      </c>
      <c r="B27" s="75" t="s">
        <v>356</v>
      </c>
      <c r="C27" s="75" t="s">
        <v>337</v>
      </c>
      <c r="D27" s="400" t="s">
        <v>99</v>
      </c>
      <c r="E27" s="75"/>
      <c r="F27" s="75">
        <v>1000</v>
      </c>
      <c r="G27" s="173"/>
      <c r="H27" s="234">
        <f t="shared" si="0"/>
        <v>-818519</v>
      </c>
      <c r="I27" s="402" t="s">
        <v>111</v>
      </c>
      <c r="J27" s="124" t="s">
        <v>380</v>
      </c>
      <c r="K27" s="176"/>
    </row>
    <row r="28" spans="1:11" ht="15.6">
      <c r="A28" s="212">
        <v>46086</v>
      </c>
      <c r="B28" s="75" t="s">
        <v>348</v>
      </c>
      <c r="C28" s="75" t="s">
        <v>102</v>
      </c>
      <c r="D28" s="400" t="s">
        <v>99</v>
      </c>
      <c r="E28" s="75">
        <v>25000</v>
      </c>
      <c r="F28" s="75"/>
      <c r="G28" s="173"/>
      <c r="H28" s="234">
        <f t="shared" si="0"/>
        <v>-793519</v>
      </c>
      <c r="I28" s="402" t="s">
        <v>111</v>
      </c>
      <c r="J28" s="124" t="s">
        <v>387</v>
      </c>
      <c r="K28" s="176"/>
    </row>
    <row r="29" spans="1:11" ht="15.6">
      <c r="A29" s="212">
        <v>46086</v>
      </c>
      <c r="B29" s="75" t="s">
        <v>192</v>
      </c>
      <c r="C29" s="75" t="s">
        <v>337</v>
      </c>
      <c r="D29" s="400" t="s">
        <v>99</v>
      </c>
      <c r="E29" s="75"/>
      <c r="F29" s="75">
        <v>1000</v>
      </c>
      <c r="G29" s="173"/>
      <c r="H29" s="234">
        <f t="shared" si="0"/>
        <v>-794519</v>
      </c>
      <c r="I29" s="402" t="s">
        <v>111</v>
      </c>
      <c r="J29" s="124" t="s">
        <v>380</v>
      </c>
      <c r="K29" s="176"/>
    </row>
    <row r="30" spans="1:11" ht="15.6">
      <c r="A30" s="212">
        <v>46087</v>
      </c>
      <c r="B30" s="75" t="s">
        <v>186</v>
      </c>
      <c r="C30" s="75" t="s">
        <v>337</v>
      </c>
      <c r="D30" s="400" t="s">
        <v>99</v>
      </c>
      <c r="E30" s="75"/>
      <c r="F30" s="75">
        <v>1000</v>
      </c>
      <c r="G30" s="173"/>
      <c r="H30" s="234">
        <f t="shared" si="0"/>
        <v>-795519</v>
      </c>
      <c r="I30" s="402" t="s">
        <v>111</v>
      </c>
      <c r="J30" s="124" t="s">
        <v>380</v>
      </c>
      <c r="K30" s="176"/>
    </row>
    <row r="31" spans="1:11" ht="15.6">
      <c r="A31" s="212">
        <v>46087</v>
      </c>
      <c r="B31" s="75" t="s">
        <v>357</v>
      </c>
      <c r="C31" s="75" t="s">
        <v>337</v>
      </c>
      <c r="D31" s="400" t="s">
        <v>99</v>
      </c>
      <c r="E31" s="75"/>
      <c r="F31" s="75">
        <v>1000</v>
      </c>
      <c r="G31" s="173"/>
      <c r="H31" s="234">
        <f t="shared" si="0"/>
        <v>-796519</v>
      </c>
      <c r="I31" s="402" t="s">
        <v>111</v>
      </c>
      <c r="J31" s="124" t="s">
        <v>380</v>
      </c>
      <c r="K31" s="176"/>
    </row>
    <row r="32" spans="1:11" ht="15.6">
      <c r="A32" s="212">
        <v>46087</v>
      </c>
      <c r="B32" s="75" t="s">
        <v>358</v>
      </c>
      <c r="C32" s="75" t="s">
        <v>337</v>
      </c>
      <c r="D32" s="400" t="s">
        <v>99</v>
      </c>
      <c r="E32" s="75"/>
      <c r="F32" s="75">
        <v>1000</v>
      </c>
      <c r="G32" s="173"/>
      <c r="H32" s="234">
        <f t="shared" si="0"/>
        <v>-797519</v>
      </c>
      <c r="I32" s="402" t="s">
        <v>111</v>
      </c>
      <c r="J32" s="124" t="s">
        <v>380</v>
      </c>
      <c r="K32" s="176"/>
    </row>
    <row r="33" spans="1:11" ht="15.6">
      <c r="A33" s="212">
        <v>46087</v>
      </c>
      <c r="B33" s="75" t="s">
        <v>192</v>
      </c>
      <c r="C33" s="75" t="s">
        <v>337</v>
      </c>
      <c r="D33" s="400" t="s">
        <v>99</v>
      </c>
      <c r="E33" s="75"/>
      <c r="F33" s="75">
        <v>1000</v>
      </c>
      <c r="G33" s="173"/>
      <c r="H33" s="234">
        <f t="shared" si="0"/>
        <v>-798519</v>
      </c>
      <c r="I33" s="402" t="s">
        <v>111</v>
      </c>
      <c r="J33" s="124" t="s">
        <v>380</v>
      </c>
      <c r="K33" s="176"/>
    </row>
    <row r="34" spans="1:11" ht="15.6">
      <c r="A34" s="212">
        <v>46090</v>
      </c>
      <c r="B34" s="75" t="s">
        <v>188</v>
      </c>
      <c r="C34" s="75" t="s">
        <v>337</v>
      </c>
      <c r="D34" s="400" t="s">
        <v>99</v>
      </c>
      <c r="E34" s="75"/>
      <c r="F34" s="75">
        <v>1000</v>
      </c>
      <c r="G34" s="173"/>
      <c r="H34" s="234">
        <f t="shared" si="0"/>
        <v>-799519</v>
      </c>
      <c r="I34" s="402" t="s">
        <v>111</v>
      </c>
      <c r="J34" s="124" t="s">
        <v>380</v>
      </c>
      <c r="K34" s="176"/>
    </row>
    <row r="35" spans="1:11" ht="15.6">
      <c r="A35" s="212">
        <v>46090</v>
      </c>
      <c r="B35" s="75" t="s">
        <v>186</v>
      </c>
      <c r="C35" s="75" t="s">
        <v>337</v>
      </c>
      <c r="D35" s="400" t="s">
        <v>99</v>
      </c>
      <c r="E35" s="75"/>
      <c r="F35" s="75">
        <v>1000</v>
      </c>
      <c r="G35" s="173"/>
      <c r="H35" s="234">
        <f t="shared" si="0"/>
        <v>-800519</v>
      </c>
      <c r="I35" s="402" t="s">
        <v>111</v>
      </c>
      <c r="J35" s="124" t="s">
        <v>380</v>
      </c>
      <c r="K35" s="176"/>
    </row>
    <row r="36" spans="1:11" ht="15.6">
      <c r="A36" s="212">
        <v>46090</v>
      </c>
      <c r="B36" s="75" t="s">
        <v>359</v>
      </c>
      <c r="C36" s="75" t="s">
        <v>337</v>
      </c>
      <c r="D36" s="400" t="s">
        <v>99</v>
      </c>
      <c r="E36" s="75"/>
      <c r="F36" s="75">
        <v>1000</v>
      </c>
      <c r="G36" s="173"/>
      <c r="H36" s="234">
        <f t="shared" si="0"/>
        <v>-801519</v>
      </c>
      <c r="I36" s="402" t="s">
        <v>111</v>
      </c>
      <c r="J36" s="124" t="s">
        <v>380</v>
      </c>
      <c r="K36" s="176"/>
    </row>
    <row r="37" spans="1:11" ht="15.6">
      <c r="A37" s="212">
        <v>46090</v>
      </c>
      <c r="B37" s="75" t="s">
        <v>360</v>
      </c>
      <c r="C37" s="75" t="s">
        <v>337</v>
      </c>
      <c r="D37" s="400" t="s">
        <v>99</v>
      </c>
      <c r="E37" s="75"/>
      <c r="F37" s="75">
        <v>1000</v>
      </c>
      <c r="G37" s="173"/>
      <c r="H37" s="234">
        <f t="shared" si="0"/>
        <v>-802519</v>
      </c>
      <c r="I37" s="402" t="s">
        <v>111</v>
      </c>
      <c r="J37" s="124" t="s">
        <v>380</v>
      </c>
      <c r="K37" s="176"/>
    </row>
    <row r="38" spans="1:11" ht="15.6">
      <c r="A38" s="212">
        <v>46090</v>
      </c>
      <c r="B38" s="75" t="s">
        <v>192</v>
      </c>
      <c r="C38" s="75" t="s">
        <v>337</v>
      </c>
      <c r="D38" s="400" t="s">
        <v>99</v>
      </c>
      <c r="E38" s="75"/>
      <c r="F38" s="75">
        <v>1000</v>
      </c>
      <c r="G38" s="173"/>
      <c r="H38" s="234">
        <f t="shared" si="0"/>
        <v>-803519</v>
      </c>
      <c r="I38" s="402" t="s">
        <v>111</v>
      </c>
      <c r="J38" s="124" t="s">
        <v>380</v>
      </c>
      <c r="K38" s="176"/>
    </row>
    <row r="39" spans="1:11" ht="15.6">
      <c r="A39" s="212">
        <v>46091</v>
      </c>
      <c r="B39" s="75" t="s">
        <v>186</v>
      </c>
      <c r="C39" s="75" t="s">
        <v>337</v>
      </c>
      <c r="D39" s="400" t="s">
        <v>99</v>
      </c>
      <c r="E39" s="75"/>
      <c r="F39" s="75">
        <v>1000</v>
      </c>
      <c r="G39" s="173"/>
      <c r="H39" s="234">
        <f t="shared" si="0"/>
        <v>-804519</v>
      </c>
      <c r="I39" s="402" t="s">
        <v>111</v>
      </c>
      <c r="J39" s="124" t="s">
        <v>380</v>
      </c>
      <c r="K39" s="176"/>
    </row>
    <row r="40" spans="1:11" ht="15.6">
      <c r="A40" s="212">
        <v>46091</v>
      </c>
      <c r="B40" s="399" t="s">
        <v>361</v>
      </c>
      <c r="C40" s="124" t="s">
        <v>110</v>
      </c>
      <c r="D40" s="398" t="s">
        <v>99</v>
      </c>
      <c r="E40" s="75">
        <v>10000</v>
      </c>
      <c r="F40" s="75"/>
      <c r="G40" s="173"/>
      <c r="H40" s="234">
        <f t="shared" si="0"/>
        <v>-794519</v>
      </c>
      <c r="I40" s="402" t="s">
        <v>111</v>
      </c>
      <c r="J40" s="124" t="s">
        <v>388</v>
      </c>
      <c r="K40" s="176"/>
    </row>
    <row r="41" spans="1:11" ht="15.6">
      <c r="A41" s="212">
        <v>46091</v>
      </c>
      <c r="B41" s="399" t="s">
        <v>361</v>
      </c>
      <c r="C41" s="124" t="s">
        <v>110</v>
      </c>
      <c r="D41" s="398" t="s">
        <v>99</v>
      </c>
      <c r="E41" s="75"/>
      <c r="F41" s="75">
        <v>10000</v>
      </c>
      <c r="G41" s="173"/>
      <c r="H41" s="234">
        <f t="shared" si="0"/>
        <v>-804519</v>
      </c>
      <c r="I41" s="402" t="s">
        <v>111</v>
      </c>
      <c r="J41" s="124" t="s">
        <v>388</v>
      </c>
      <c r="K41" s="176"/>
    </row>
    <row r="42" spans="1:11" ht="15.6">
      <c r="A42" s="212">
        <v>46091</v>
      </c>
      <c r="B42" s="75" t="s">
        <v>192</v>
      </c>
      <c r="C42" s="75" t="s">
        <v>337</v>
      </c>
      <c r="D42" s="400" t="s">
        <v>99</v>
      </c>
      <c r="E42" s="75"/>
      <c r="F42" s="75">
        <v>1000</v>
      </c>
      <c r="G42" s="173"/>
      <c r="H42" s="234">
        <f t="shared" si="0"/>
        <v>-805519</v>
      </c>
      <c r="I42" s="402" t="s">
        <v>111</v>
      </c>
      <c r="J42" s="124" t="s">
        <v>380</v>
      </c>
      <c r="K42" s="176"/>
    </row>
    <row r="43" spans="1:11" ht="15.6">
      <c r="A43" s="212">
        <v>46092</v>
      </c>
      <c r="B43" s="75" t="s">
        <v>362</v>
      </c>
      <c r="C43" s="75" t="s">
        <v>337</v>
      </c>
      <c r="D43" s="400" t="s">
        <v>99</v>
      </c>
      <c r="E43" s="75"/>
      <c r="F43" s="75">
        <v>500</v>
      </c>
      <c r="G43" s="173"/>
      <c r="H43" s="234">
        <f t="shared" si="0"/>
        <v>-806019</v>
      </c>
      <c r="I43" s="402" t="s">
        <v>111</v>
      </c>
      <c r="J43" s="124" t="s">
        <v>380</v>
      </c>
      <c r="K43" s="176"/>
    </row>
    <row r="44" spans="1:11" ht="15.6">
      <c r="A44" s="212">
        <v>46092</v>
      </c>
      <c r="B44" s="75" t="s">
        <v>363</v>
      </c>
      <c r="C44" s="75" t="s">
        <v>337</v>
      </c>
      <c r="D44" s="400" t="s">
        <v>99</v>
      </c>
      <c r="E44" s="75"/>
      <c r="F44" s="75">
        <v>1000</v>
      </c>
      <c r="G44" s="173"/>
      <c r="H44" s="234">
        <f t="shared" si="0"/>
        <v>-807019</v>
      </c>
      <c r="I44" s="402" t="s">
        <v>111</v>
      </c>
      <c r="J44" s="124" t="s">
        <v>380</v>
      </c>
      <c r="K44" s="176"/>
    </row>
    <row r="45" spans="1:11" ht="15.6">
      <c r="A45" s="212">
        <v>46092</v>
      </c>
      <c r="B45" s="75" t="s">
        <v>360</v>
      </c>
      <c r="C45" s="75" t="s">
        <v>337</v>
      </c>
      <c r="D45" s="400" t="s">
        <v>99</v>
      </c>
      <c r="E45" s="75"/>
      <c r="F45" s="75">
        <v>1000</v>
      </c>
      <c r="G45" s="173"/>
      <c r="H45" s="234">
        <f t="shared" si="0"/>
        <v>-808019</v>
      </c>
      <c r="I45" s="402" t="s">
        <v>111</v>
      </c>
      <c r="J45" s="124" t="s">
        <v>380</v>
      </c>
      <c r="K45" s="176"/>
    </row>
    <row r="46" spans="1:11" ht="15.6">
      <c r="A46" s="212">
        <v>46092</v>
      </c>
      <c r="B46" s="75" t="s">
        <v>364</v>
      </c>
      <c r="C46" s="75" t="s">
        <v>337</v>
      </c>
      <c r="D46" s="400" t="s">
        <v>99</v>
      </c>
      <c r="E46" s="75"/>
      <c r="F46" s="75">
        <v>1000</v>
      </c>
      <c r="G46" s="173"/>
      <c r="H46" s="234">
        <f t="shared" si="0"/>
        <v>-809019</v>
      </c>
      <c r="I46" s="402" t="s">
        <v>111</v>
      </c>
      <c r="J46" s="124" t="s">
        <v>380</v>
      </c>
      <c r="K46" s="176"/>
    </row>
    <row r="47" spans="1:11" ht="15.6">
      <c r="A47" s="212">
        <v>46092</v>
      </c>
      <c r="B47" s="75" t="s">
        <v>365</v>
      </c>
      <c r="C47" s="75" t="s">
        <v>337</v>
      </c>
      <c r="D47" s="400" t="s">
        <v>99</v>
      </c>
      <c r="E47" s="75"/>
      <c r="F47" s="75">
        <v>1000</v>
      </c>
      <c r="G47" s="173"/>
      <c r="H47" s="234">
        <f t="shared" si="0"/>
        <v>-810019</v>
      </c>
      <c r="I47" s="402" t="s">
        <v>111</v>
      </c>
      <c r="J47" s="124" t="s">
        <v>380</v>
      </c>
      <c r="K47" s="176"/>
    </row>
    <row r="48" spans="1:11" ht="15.6">
      <c r="A48" s="212">
        <v>46093</v>
      </c>
      <c r="B48" s="75" t="s">
        <v>186</v>
      </c>
      <c r="C48" s="75" t="s">
        <v>337</v>
      </c>
      <c r="D48" s="400" t="s">
        <v>99</v>
      </c>
      <c r="E48" s="75"/>
      <c r="F48" s="75">
        <v>1000</v>
      </c>
      <c r="G48" s="173"/>
      <c r="H48" s="234">
        <f t="shared" si="0"/>
        <v>-811019</v>
      </c>
      <c r="I48" s="402" t="s">
        <v>111</v>
      </c>
      <c r="J48" s="124" t="s">
        <v>380</v>
      </c>
      <c r="K48" s="176"/>
    </row>
    <row r="49" spans="1:11" ht="15.6">
      <c r="A49" s="212">
        <v>46093</v>
      </c>
      <c r="B49" s="75" t="s">
        <v>366</v>
      </c>
      <c r="C49" s="75" t="s">
        <v>337</v>
      </c>
      <c r="D49" s="400" t="s">
        <v>99</v>
      </c>
      <c r="E49" s="75"/>
      <c r="F49" s="75">
        <v>1000</v>
      </c>
      <c r="G49" s="173"/>
      <c r="H49" s="234">
        <f t="shared" si="0"/>
        <v>-812019</v>
      </c>
      <c r="I49" s="402" t="s">
        <v>111</v>
      </c>
      <c r="J49" s="124" t="s">
        <v>380</v>
      </c>
      <c r="K49" s="176"/>
    </row>
    <row r="50" spans="1:11" ht="15.6">
      <c r="A50" s="212">
        <v>46093</v>
      </c>
      <c r="B50" s="75" t="s">
        <v>367</v>
      </c>
      <c r="C50" s="75" t="s">
        <v>337</v>
      </c>
      <c r="D50" s="400" t="s">
        <v>99</v>
      </c>
      <c r="E50" s="75"/>
      <c r="F50" s="75">
        <v>1000</v>
      </c>
      <c r="G50" s="173"/>
      <c r="H50" s="234">
        <f t="shared" si="0"/>
        <v>-813019</v>
      </c>
      <c r="I50" s="402" t="s">
        <v>111</v>
      </c>
      <c r="J50" s="124" t="s">
        <v>380</v>
      </c>
      <c r="K50" s="176"/>
    </row>
    <row r="51" spans="1:11" ht="15.6">
      <c r="A51" s="212">
        <v>46093</v>
      </c>
      <c r="B51" s="75" t="s">
        <v>348</v>
      </c>
      <c r="C51" s="75" t="s">
        <v>102</v>
      </c>
      <c r="D51" s="400" t="s">
        <v>99</v>
      </c>
      <c r="E51" s="75">
        <v>830000</v>
      </c>
      <c r="F51" s="75"/>
      <c r="G51" s="173"/>
      <c r="H51" s="234">
        <f t="shared" si="0"/>
        <v>16981</v>
      </c>
      <c r="I51" s="402" t="s">
        <v>111</v>
      </c>
      <c r="J51" s="124" t="s">
        <v>389</v>
      </c>
      <c r="K51" s="176"/>
    </row>
    <row r="52" spans="1:11" ht="15.6">
      <c r="A52" s="212">
        <v>46093</v>
      </c>
      <c r="B52" s="75" t="s">
        <v>187</v>
      </c>
      <c r="C52" s="75" t="s">
        <v>337</v>
      </c>
      <c r="D52" s="400" t="s">
        <v>99</v>
      </c>
      <c r="E52" s="75"/>
      <c r="F52" s="75">
        <v>1000</v>
      </c>
      <c r="G52" s="173"/>
      <c r="H52" s="234">
        <f t="shared" si="0"/>
        <v>15981</v>
      </c>
      <c r="I52" s="402" t="s">
        <v>111</v>
      </c>
      <c r="J52" s="124" t="s">
        <v>380</v>
      </c>
      <c r="K52" s="176"/>
    </row>
    <row r="53" spans="1:11" ht="15.6">
      <c r="A53" s="212">
        <v>46094</v>
      </c>
      <c r="B53" s="75" t="s">
        <v>362</v>
      </c>
      <c r="C53" s="75" t="s">
        <v>337</v>
      </c>
      <c r="D53" s="400" t="s">
        <v>99</v>
      </c>
      <c r="E53" s="75"/>
      <c r="F53" s="75">
        <v>1000</v>
      </c>
      <c r="G53" s="173"/>
      <c r="H53" s="234">
        <f t="shared" si="0"/>
        <v>14981</v>
      </c>
      <c r="I53" s="402" t="s">
        <v>111</v>
      </c>
      <c r="J53" s="124" t="s">
        <v>380</v>
      </c>
      <c r="K53" s="176"/>
    </row>
    <row r="54" spans="1:11" ht="15.6">
      <c r="A54" s="212">
        <v>46094</v>
      </c>
      <c r="B54" s="75" t="s">
        <v>368</v>
      </c>
      <c r="C54" s="75" t="s">
        <v>337</v>
      </c>
      <c r="D54" s="400" t="s">
        <v>99</v>
      </c>
      <c r="E54" s="75"/>
      <c r="F54" s="75">
        <v>1000</v>
      </c>
      <c r="G54" s="173"/>
      <c r="H54" s="234">
        <f t="shared" si="0"/>
        <v>13981</v>
      </c>
      <c r="I54" s="402" t="s">
        <v>111</v>
      </c>
      <c r="J54" s="124" t="s">
        <v>380</v>
      </c>
      <c r="K54" s="176"/>
    </row>
    <row r="55" spans="1:11" ht="15.6">
      <c r="A55" s="212">
        <v>46094</v>
      </c>
      <c r="B55" s="75" t="s">
        <v>187</v>
      </c>
      <c r="C55" s="75" t="s">
        <v>337</v>
      </c>
      <c r="D55" s="400" t="s">
        <v>99</v>
      </c>
      <c r="E55" s="75"/>
      <c r="F55" s="75">
        <v>1000</v>
      </c>
      <c r="G55" s="173"/>
      <c r="H55" s="234">
        <f t="shared" si="0"/>
        <v>12981</v>
      </c>
      <c r="I55" s="402" t="s">
        <v>111</v>
      </c>
      <c r="J55" s="124" t="s">
        <v>380</v>
      </c>
      <c r="K55" s="176"/>
    </row>
    <row r="56" spans="1:11" ht="15.6">
      <c r="A56" s="212">
        <v>46095</v>
      </c>
      <c r="B56" s="75" t="s">
        <v>186</v>
      </c>
      <c r="C56" s="75" t="s">
        <v>337</v>
      </c>
      <c r="D56" s="400" t="s">
        <v>99</v>
      </c>
      <c r="E56" s="75"/>
      <c r="F56" s="75">
        <v>1000</v>
      </c>
      <c r="G56" s="173"/>
      <c r="H56" s="234">
        <f t="shared" si="0"/>
        <v>11981</v>
      </c>
      <c r="I56" s="402" t="s">
        <v>111</v>
      </c>
      <c r="J56" s="124" t="s">
        <v>380</v>
      </c>
      <c r="K56" s="176"/>
    </row>
    <row r="57" spans="1:11" ht="15.6">
      <c r="A57" s="212">
        <v>46095</v>
      </c>
      <c r="B57" s="75" t="s">
        <v>187</v>
      </c>
      <c r="C57" s="75" t="s">
        <v>337</v>
      </c>
      <c r="D57" s="400" t="s">
        <v>99</v>
      </c>
      <c r="E57" s="75"/>
      <c r="F57" s="75">
        <v>1000</v>
      </c>
      <c r="G57" s="173"/>
      <c r="H57" s="234">
        <f t="shared" si="0"/>
        <v>10981</v>
      </c>
      <c r="I57" s="402" t="s">
        <v>111</v>
      </c>
      <c r="J57" s="124" t="s">
        <v>380</v>
      </c>
      <c r="K57" s="176"/>
    </row>
    <row r="58" spans="1:11" ht="15.6">
      <c r="A58" s="212">
        <v>46097</v>
      </c>
      <c r="B58" s="75" t="s">
        <v>186</v>
      </c>
      <c r="C58" s="75" t="s">
        <v>337</v>
      </c>
      <c r="D58" s="400" t="s">
        <v>99</v>
      </c>
      <c r="E58" s="75"/>
      <c r="F58" s="75">
        <v>1000</v>
      </c>
      <c r="G58" s="173"/>
      <c r="H58" s="234">
        <f t="shared" si="0"/>
        <v>9981</v>
      </c>
      <c r="I58" s="402" t="s">
        <v>111</v>
      </c>
      <c r="J58" s="124" t="s">
        <v>380</v>
      </c>
      <c r="K58" s="176"/>
    </row>
    <row r="59" spans="1:11" ht="15.6">
      <c r="A59" s="212">
        <v>46097</v>
      </c>
      <c r="B59" s="75" t="s">
        <v>366</v>
      </c>
      <c r="C59" s="75" t="s">
        <v>337</v>
      </c>
      <c r="D59" s="400" t="s">
        <v>99</v>
      </c>
      <c r="E59" s="75"/>
      <c r="F59" s="75">
        <v>1000</v>
      </c>
      <c r="G59" s="173"/>
      <c r="H59" s="234">
        <f t="shared" si="0"/>
        <v>8981</v>
      </c>
      <c r="I59" s="402" t="s">
        <v>111</v>
      </c>
      <c r="J59" s="124" t="s">
        <v>380</v>
      </c>
      <c r="K59" s="176"/>
    </row>
    <row r="60" spans="1:11" ht="15.6">
      <c r="A60" s="212">
        <v>46097</v>
      </c>
      <c r="B60" s="75" t="s">
        <v>367</v>
      </c>
      <c r="C60" s="75" t="s">
        <v>337</v>
      </c>
      <c r="D60" s="400" t="s">
        <v>99</v>
      </c>
      <c r="E60" s="75"/>
      <c r="F60" s="75">
        <v>1000</v>
      </c>
      <c r="G60" s="173"/>
      <c r="H60" s="234">
        <f t="shared" si="0"/>
        <v>7981</v>
      </c>
      <c r="I60" s="402" t="s">
        <v>111</v>
      </c>
      <c r="J60" s="124" t="s">
        <v>380</v>
      </c>
      <c r="K60" s="176"/>
    </row>
    <row r="61" spans="1:11" ht="15.6">
      <c r="A61" s="212">
        <v>46097</v>
      </c>
      <c r="B61" s="75" t="s">
        <v>187</v>
      </c>
      <c r="C61" s="75" t="s">
        <v>337</v>
      </c>
      <c r="D61" s="400" t="s">
        <v>99</v>
      </c>
      <c r="E61" s="75"/>
      <c r="F61" s="75">
        <v>1000</v>
      </c>
      <c r="G61" s="173"/>
      <c r="H61" s="234">
        <f t="shared" si="0"/>
        <v>6981</v>
      </c>
      <c r="I61" s="402" t="s">
        <v>111</v>
      </c>
      <c r="J61" s="124" t="s">
        <v>380</v>
      </c>
      <c r="K61" s="176"/>
    </row>
    <row r="62" spans="1:11" ht="15.6">
      <c r="A62" s="212">
        <v>46098</v>
      </c>
      <c r="B62" s="75" t="s">
        <v>186</v>
      </c>
      <c r="C62" s="75" t="s">
        <v>337</v>
      </c>
      <c r="D62" s="400" t="s">
        <v>99</v>
      </c>
      <c r="E62" s="75"/>
      <c r="F62" s="75">
        <v>1000</v>
      </c>
      <c r="G62" s="173"/>
      <c r="H62" s="234">
        <f t="shared" si="0"/>
        <v>5981</v>
      </c>
      <c r="I62" s="402" t="s">
        <v>111</v>
      </c>
      <c r="J62" s="124" t="s">
        <v>380</v>
      </c>
      <c r="K62" s="176"/>
    </row>
    <row r="63" spans="1:11" ht="15.6">
      <c r="A63" s="212">
        <v>46098</v>
      </c>
      <c r="B63" s="75" t="s">
        <v>192</v>
      </c>
      <c r="C63" s="75" t="s">
        <v>337</v>
      </c>
      <c r="D63" s="400" t="s">
        <v>99</v>
      </c>
      <c r="E63" s="75"/>
      <c r="F63" s="75">
        <v>1000</v>
      </c>
      <c r="G63" s="173"/>
      <c r="H63" s="234">
        <f t="shared" si="0"/>
        <v>4981</v>
      </c>
      <c r="I63" s="402" t="s">
        <v>111</v>
      </c>
      <c r="J63" s="124" t="s">
        <v>380</v>
      </c>
      <c r="K63" s="176"/>
    </row>
    <row r="64" spans="1:11" ht="15.6">
      <c r="A64" s="212">
        <v>46099</v>
      </c>
      <c r="B64" s="75" t="s">
        <v>186</v>
      </c>
      <c r="C64" s="75" t="s">
        <v>337</v>
      </c>
      <c r="D64" s="400" t="s">
        <v>99</v>
      </c>
      <c r="E64" s="75"/>
      <c r="F64" s="75">
        <v>1000</v>
      </c>
      <c r="G64" s="173"/>
      <c r="H64" s="234">
        <f t="shared" si="0"/>
        <v>3981</v>
      </c>
      <c r="I64" s="402" t="s">
        <v>111</v>
      </c>
      <c r="J64" s="124" t="s">
        <v>380</v>
      </c>
      <c r="K64" s="176"/>
    </row>
    <row r="65" spans="1:11" ht="15.6">
      <c r="A65" s="212">
        <v>46099</v>
      </c>
      <c r="B65" s="75" t="s">
        <v>369</v>
      </c>
      <c r="C65" s="75" t="s">
        <v>337</v>
      </c>
      <c r="D65" s="400" t="s">
        <v>99</v>
      </c>
      <c r="E65" s="75"/>
      <c r="F65" s="75">
        <v>1000</v>
      </c>
      <c r="G65" s="173"/>
      <c r="H65" s="234">
        <f t="shared" si="0"/>
        <v>2981</v>
      </c>
      <c r="I65" s="402" t="s">
        <v>111</v>
      </c>
      <c r="J65" s="124" t="s">
        <v>380</v>
      </c>
      <c r="K65" s="176"/>
    </row>
    <row r="66" spans="1:11" ht="15.6">
      <c r="A66" s="212">
        <v>46099</v>
      </c>
      <c r="B66" s="75" t="s">
        <v>187</v>
      </c>
      <c r="C66" s="75" t="s">
        <v>337</v>
      </c>
      <c r="D66" s="400" t="s">
        <v>99</v>
      </c>
      <c r="E66" s="75"/>
      <c r="F66" s="75">
        <v>1000</v>
      </c>
      <c r="G66" s="173"/>
      <c r="H66" s="234">
        <f t="shared" si="0"/>
        <v>1981</v>
      </c>
      <c r="I66" s="402" t="s">
        <v>111</v>
      </c>
      <c r="J66" s="124" t="s">
        <v>380</v>
      </c>
      <c r="K66" s="176"/>
    </row>
    <row r="67" spans="1:11" ht="15.6">
      <c r="A67" s="212">
        <v>46099</v>
      </c>
      <c r="B67" s="399" t="s">
        <v>370</v>
      </c>
      <c r="C67" s="124" t="s">
        <v>110</v>
      </c>
      <c r="D67" s="398" t="s">
        <v>99</v>
      </c>
      <c r="E67" s="75">
        <v>10000</v>
      </c>
      <c r="F67" s="75"/>
      <c r="G67" s="173"/>
      <c r="H67" s="234">
        <f t="shared" si="0"/>
        <v>11981</v>
      </c>
      <c r="I67" s="402" t="s">
        <v>111</v>
      </c>
      <c r="J67" s="124" t="s">
        <v>390</v>
      </c>
      <c r="K67" s="176"/>
    </row>
    <row r="68" spans="1:11" ht="15.6">
      <c r="A68" s="212">
        <v>46099</v>
      </c>
      <c r="B68" s="399" t="s">
        <v>370</v>
      </c>
      <c r="C68" s="124" t="s">
        <v>110</v>
      </c>
      <c r="D68" s="398" t="s">
        <v>99</v>
      </c>
      <c r="E68" s="75"/>
      <c r="F68" s="75">
        <v>10000</v>
      </c>
      <c r="G68" s="173"/>
      <c r="H68" s="234">
        <f t="shared" si="0"/>
        <v>1981</v>
      </c>
      <c r="I68" s="402" t="s">
        <v>111</v>
      </c>
      <c r="J68" s="124" t="s">
        <v>390</v>
      </c>
      <c r="K68" s="176"/>
    </row>
    <row r="69" spans="1:11" ht="15.6">
      <c r="A69" s="212">
        <v>46100</v>
      </c>
      <c r="B69" s="75" t="s">
        <v>186</v>
      </c>
      <c r="C69" s="75" t="s">
        <v>337</v>
      </c>
      <c r="D69" s="400" t="s">
        <v>99</v>
      </c>
      <c r="E69" s="75"/>
      <c r="F69" s="75">
        <v>1000</v>
      </c>
      <c r="G69" s="173"/>
      <c r="H69" s="234">
        <f t="shared" si="0"/>
        <v>981</v>
      </c>
      <c r="I69" s="402" t="s">
        <v>111</v>
      </c>
      <c r="J69" s="124" t="s">
        <v>380</v>
      </c>
      <c r="K69" s="176"/>
    </row>
    <row r="70" spans="1:11" ht="15.6">
      <c r="A70" s="212">
        <v>46100</v>
      </c>
      <c r="B70" s="75" t="s">
        <v>307</v>
      </c>
      <c r="C70" s="75" t="s">
        <v>337</v>
      </c>
      <c r="D70" s="400" t="s">
        <v>99</v>
      </c>
      <c r="E70" s="75"/>
      <c r="F70" s="75">
        <v>1000</v>
      </c>
      <c r="G70" s="173"/>
      <c r="H70" s="234">
        <f t="shared" ref="H70:H104" si="1">H69+E70-F70</f>
        <v>-19</v>
      </c>
      <c r="I70" s="402" t="s">
        <v>111</v>
      </c>
      <c r="J70" s="124" t="s">
        <v>380</v>
      </c>
      <c r="K70" s="176"/>
    </row>
    <row r="71" spans="1:11" ht="15.6">
      <c r="A71" s="212">
        <v>46100</v>
      </c>
      <c r="B71" s="75" t="s">
        <v>308</v>
      </c>
      <c r="C71" s="75" t="s">
        <v>337</v>
      </c>
      <c r="D71" s="400" t="s">
        <v>99</v>
      </c>
      <c r="E71" s="75"/>
      <c r="F71" s="75">
        <v>1000</v>
      </c>
      <c r="G71" s="173"/>
      <c r="H71" s="234">
        <f t="shared" si="1"/>
        <v>-1019</v>
      </c>
      <c r="I71" s="402" t="s">
        <v>111</v>
      </c>
      <c r="J71" s="124" t="s">
        <v>380</v>
      </c>
      <c r="K71" s="176"/>
    </row>
    <row r="72" spans="1:11" ht="15.6">
      <c r="A72" s="212">
        <v>46100</v>
      </c>
      <c r="B72" s="75" t="s">
        <v>187</v>
      </c>
      <c r="C72" s="75" t="s">
        <v>337</v>
      </c>
      <c r="D72" s="400" t="s">
        <v>99</v>
      </c>
      <c r="E72" s="75"/>
      <c r="F72" s="75">
        <v>1000</v>
      </c>
      <c r="G72" s="173"/>
      <c r="H72" s="234">
        <f t="shared" si="1"/>
        <v>-2019</v>
      </c>
      <c r="I72" s="402" t="s">
        <v>111</v>
      </c>
      <c r="J72" s="124" t="s">
        <v>380</v>
      </c>
      <c r="K72" s="176"/>
    </row>
    <row r="73" spans="1:11" ht="15.6">
      <c r="A73" s="212">
        <v>46101</v>
      </c>
      <c r="B73" s="75" t="s">
        <v>186</v>
      </c>
      <c r="C73" s="75" t="s">
        <v>337</v>
      </c>
      <c r="D73" s="400" t="s">
        <v>99</v>
      </c>
      <c r="E73" s="75"/>
      <c r="F73" s="75">
        <v>1000</v>
      </c>
      <c r="G73" s="173"/>
      <c r="H73" s="234">
        <f t="shared" si="1"/>
        <v>-3019</v>
      </c>
      <c r="I73" s="402" t="s">
        <v>111</v>
      </c>
      <c r="J73" s="124" t="s">
        <v>380</v>
      </c>
      <c r="K73" s="176"/>
    </row>
    <row r="74" spans="1:11" ht="15.6">
      <c r="A74" s="212">
        <v>46101</v>
      </c>
      <c r="B74" s="75" t="s">
        <v>192</v>
      </c>
      <c r="C74" s="75" t="s">
        <v>337</v>
      </c>
      <c r="D74" s="400" t="s">
        <v>99</v>
      </c>
      <c r="E74" s="75"/>
      <c r="F74" s="75">
        <v>1000</v>
      </c>
      <c r="G74" s="173"/>
      <c r="H74" s="234">
        <f t="shared" si="1"/>
        <v>-4019</v>
      </c>
      <c r="I74" s="402" t="s">
        <v>111</v>
      </c>
      <c r="J74" s="124" t="s">
        <v>380</v>
      </c>
      <c r="K74" s="176"/>
    </row>
    <row r="75" spans="1:11" ht="15.6">
      <c r="A75" s="212">
        <v>46104</v>
      </c>
      <c r="B75" s="75" t="s">
        <v>371</v>
      </c>
      <c r="C75" s="75" t="s">
        <v>337</v>
      </c>
      <c r="D75" s="400" t="s">
        <v>99</v>
      </c>
      <c r="E75" s="75"/>
      <c r="F75" s="75">
        <v>1000</v>
      </c>
      <c r="G75" s="173"/>
      <c r="H75" s="234">
        <f t="shared" si="1"/>
        <v>-5019</v>
      </c>
      <c r="I75" s="402" t="s">
        <v>111</v>
      </c>
      <c r="J75" s="124" t="s">
        <v>380</v>
      </c>
      <c r="K75" s="176"/>
    </row>
    <row r="76" spans="1:11" ht="15.6">
      <c r="A76" s="212">
        <v>46104</v>
      </c>
      <c r="B76" s="75" t="s">
        <v>366</v>
      </c>
      <c r="C76" s="75" t="s">
        <v>337</v>
      </c>
      <c r="D76" s="400" t="s">
        <v>99</v>
      </c>
      <c r="E76" s="75"/>
      <c r="F76" s="75">
        <v>1000</v>
      </c>
      <c r="G76" s="173"/>
      <c r="H76" s="234">
        <f t="shared" si="1"/>
        <v>-6019</v>
      </c>
      <c r="I76" s="402" t="s">
        <v>111</v>
      </c>
      <c r="J76" s="124" t="s">
        <v>380</v>
      </c>
      <c r="K76" s="176"/>
    </row>
    <row r="77" spans="1:11" ht="15.6">
      <c r="A77" s="212">
        <v>46104</v>
      </c>
      <c r="B77" s="75" t="s">
        <v>369</v>
      </c>
      <c r="C77" s="75" t="s">
        <v>337</v>
      </c>
      <c r="D77" s="400" t="s">
        <v>99</v>
      </c>
      <c r="E77" s="75"/>
      <c r="F77" s="75">
        <v>1000</v>
      </c>
      <c r="G77" s="173"/>
      <c r="H77" s="234">
        <f t="shared" si="1"/>
        <v>-7019</v>
      </c>
      <c r="I77" s="402" t="s">
        <v>111</v>
      </c>
      <c r="J77" s="124" t="s">
        <v>380</v>
      </c>
      <c r="K77" s="176"/>
    </row>
    <row r="78" spans="1:11" ht="15.6">
      <c r="A78" s="212">
        <v>46104</v>
      </c>
      <c r="B78" s="75" t="s">
        <v>372</v>
      </c>
      <c r="C78" s="75" t="s">
        <v>337</v>
      </c>
      <c r="D78" s="400" t="s">
        <v>99</v>
      </c>
      <c r="E78" s="75"/>
      <c r="F78" s="75">
        <v>1000</v>
      </c>
      <c r="G78" s="173"/>
      <c r="H78" s="234">
        <f t="shared" si="1"/>
        <v>-8019</v>
      </c>
      <c r="I78" s="402" t="s">
        <v>111</v>
      </c>
      <c r="J78" s="124" t="s">
        <v>380</v>
      </c>
      <c r="K78" s="176"/>
    </row>
    <row r="79" spans="1:11" ht="15.6">
      <c r="A79" s="212">
        <v>46104</v>
      </c>
      <c r="B79" s="75" t="s">
        <v>373</v>
      </c>
      <c r="C79" s="75" t="s">
        <v>337</v>
      </c>
      <c r="D79" s="400" t="s">
        <v>99</v>
      </c>
      <c r="E79" s="75"/>
      <c r="F79" s="75">
        <v>1000</v>
      </c>
      <c r="G79" s="173"/>
      <c r="H79" s="234">
        <f t="shared" si="1"/>
        <v>-9019</v>
      </c>
      <c r="I79" s="402" t="s">
        <v>111</v>
      </c>
      <c r="J79" s="124" t="s">
        <v>380</v>
      </c>
      <c r="K79" s="176"/>
    </row>
    <row r="80" spans="1:11" ht="15.6">
      <c r="A80" s="212">
        <v>46104</v>
      </c>
      <c r="B80" s="75" t="s">
        <v>189</v>
      </c>
      <c r="C80" s="75" t="s">
        <v>337</v>
      </c>
      <c r="D80" s="400" t="s">
        <v>99</v>
      </c>
      <c r="E80" s="75"/>
      <c r="F80" s="75">
        <v>1000</v>
      </c>
      <c r="G80" s="173"/>
      <c r="H80" s="234">
        <f t="shared" si="1"/>
        <v>-10019</v>
      </c>
      <c r="I80" s="402" t="s">
        <v>111</v>
      </c>
      <c r="J80" s="124" t="s">
        <v>380</v>
      </c>
      <c r="K80" s="176"/>
    </row>
    <row r="81" spans="1:11" ht="15.6">
      <c r="A81" s="212">
        <v>46105</v>
      </c>
      <c r="B81" s="75" t="s">
        <v>186</v>
      </c>
      <c r="C81" s="75" t="s">
        <v>337</v>
      </c>
      <c r="D81" s="400" t="s">
        <v>99</v>
      </c>
      <c r="E81" s="75"/>
      <c r="F81" s="75">
        <v>1000</v>
      </c>
      <c r="G81" s="173"/>
      <c r="H81" s="234">
        <f t="shared" si="1"/>
        <v>-11019</v>
      </c>
      <c r="I81" s="402" t="s">
        <v>111</v>
      </c>
      <c r="J81" s="124" t="s">
        <v>380</v>
      </c>
      <c r="K81" s="176"/>
    </row>
    <row r="82" spans="1:11" ht="15.6">
      <c r="A82" s="341">
        <v>46105</v>
      </c>
      <c r="B82" s="341" t="s">
        <v>348</v>
      </c>
      <c r="C82" s="124" t="s">
        <v>102</v>
      </c>
      <c r="D82" s="398" t="s">
        <v>99</v>
      </c>
      <c r="E82" s="124">
        <v>20000</v>
      </c>
      <c r="F82" s="124"/>
      <c r="G82" s="173"/>
      <c r="H82" s="234">
        <f t="shared" si="1"/>
        <v>8981</v>
      </c>
      <c r="I82" s="401" t="s">
        <v>111</v>
      </c>
      <c r="J82" s="124" t="s">
        <v>391</v>
      </c>
      <c r="K82" s="176"/>
    </row>
    <row r="83" spans="1:11" ht="15.6">
      <c r="A83" s="212">
        <v>46105</v>
      </c>
      <c r="B83" s="75" t="s">
        <v>192</v>
      </c>
      <c r="C83" s="75" t="s">
        <v>337</v>
      </c>
      <c r="D83" s="400" t="s">
        <v>99</v>
      </c>
      <c r="E83" s="75"/>
      <c r="F83" s="75">
        <v>1000</v>
      </c>
      <c r="G83" s="173"/>
      <c r="H83" s="234">
        <f t="shared" si="1"/>
        <v>7981</v>
      </c>
      <c r="I83" s="402" t="s">
        <v>111</v>
      </c>
      <c r="J83" s="124" t="s">
        <v>380</v>
      </c>
      <c r="K83" s="176"/>
    </row>
    <row r="84" spans="1:11" ht="15.6">
      <c r="A84" s="212">
        <v>46105</v>
      </c>
      <c r="B84" s="399" t="s">
        <v>374</v>
      </c>
      <c r="C84" s="124" t="s">
        <v>110</v>
      </c>
      <c r="D84" s="398" t="s">
        <v>99</v>
      </c>
      <c r="E84" s="75">
        <v>10000</v>
      </c>
      <c r="F84" s="75"/>
      <c r="G84" s="173"/>
      <c r="H84" s="234">
        <f t="shared" si="1"/>
        <v>17981</v>
      </c>
      <c r="I84" s="402" t="s">
        <v>111</v>
      </c>
      <c r="J84" s="124" t="s">
        <v>392</v>
      </c>
      <c r="K84" s="176"/>
    </row>
    <row r="85" spans="1:11" ht="15.6">
      <c r="A85" s="212">
        <v>46105</v>
      </c>
      <c r="B85" s="399" t="s">
        <v>374</v>
      </c>
      <c r="C85" s="124" t="s">
        <v>110</v>
      </c>
      <c r="D85" s="398" t="s">
        <v>99</v>
      </c>
      <c r="E85" s="75"/>
      <c r="F85" s="75">
        <v>10000</v>
      </c>
      <c r="G85" s="173"/>
      <c r="H85" s="234">
        <f t="shared" si="1"/>
        <v>7981</v>
      </c>
      <c r="I85" s="402" t="s">
        <v>111</v>
      </c>
      <c r="J85" s="124" t="s">
        <v>392</v>
      </c>
      <c r="K85" s="176"/>
    </row>
    <row r="86" spans="1:11" ht="15.6">
      <c r="A86" s="212">
        <v>46106</v>
      </c>
      <c r="B86" s="75" t="s">
        <v>188</v>
      </c>
      <c r="C86" s="75" t="s">
        <v>337</v>
      </c>
      <c r="D86" s="400" t="s">
        <v>99</v>
      </c>
      <c r="E86" s="75"/>
      <c r="F86" s="75">
        <v>1000</v>
      </c>
      <c r="G86" s="173"/>
      <c r="H86" s="234">
        <f t="shared" si="1"/>
        <v>6981</v>
      </c>
      <c r="I86" s="402" t="s">
        <v>111</v>
      </c>
      <c r="J86" s="124" t="s">
        <v>380</v>
      </c>
      <c r="K86" s="176"/>
    </row>
    <row r="87" spans="1:11" ht="15.6">
      <c r="A87" s="212">
        <v>46106</v>
      </c>
      <c r="B87" s="75" t="s">
        <v>375</v>
      </c>
      <c r="C87" s="75" t="s">
        <v>337</v>
      </c>
      <c r="D87" s="400" t="s">
        <v>99</v>
      </c>
      <c r="E87" s="75"/>
      <c r="F87" s="75">
        <v>1000</v>
      </c>
      <c r="G87" s="173"/>
      <c r="H87" s="234">
        <f t="shared" si="1"/>
        <v>5981</v>
      </c>
      <c r="I87" s="402" t="s">
        <v>111</v>
      </c>
      <c r="J87" s="124" t="s">
        <v>380</v>
      </c>
      <c r="K87" s="176"/>
    </row>
    <row r="88" spans="1:11" ht="15.6">
      <c r="A88" s="212">
        <v>46106</v>
      </c>
      <c r="B88" s="75" t="s">
        <v>376</v>
      </c>
      <c r="C88" s="75" t="s">
        <v>337</v>
      </c>
      <c r="D88" s="400" t="s">
        <v>99</v>
      </c>
      <c r="E88" s="75"/>
      <c r="F88" s="75">
        <v>1000</v>
      </c>
      <c r="G88" s="173"/>
      <c r="H88" s="234">
        <f t="shared" si="1"/>
        <v>4981</v>
      </c>
      <c r="I88" s="402" t="s">
        <v>111</v>
      </c>
      <c r="J88" s="124" t="s">
        <v>380</v>
      </c>
      <c r="K88" s="176"/>
    </row>
    <row r="89" spans="1:11" ht="15.6">
      <c r="A89" s="212">
        <v>46106</v>
      </c>
      <c r="B89" s="75" t="s">
        <v>193</v>
      </c>
      <c r="C89" s="75" t="s">
        <v>337</v>
      </c>
      <c r="D89" s="400" t="s">
        <v>99</v>
      </c>
      <c r="E89" s="75"/>
      <c r="F89" s="75">
        <v>1000</v>
      </c>
      <c r="G89" s="173"/>
      <c r="H89" s="234">
        <f t="shared" si="1"/>
        <v>3981</v>
      </c>
      <c r="I89" s="402" t="s">
        <v>111</v>
      </c>
      <c r="J89" s="124" t="s">
        <v>380</v>
      </c>
      <c r="K89" s="176"/>
    </row>
    <row r="90" spans="1:11" ht="15.6">
      <c r="A90" s="212">
        <v>46106</v>
      </c>
      <c r="B90" s="75" t="s">
        <v>315</v>
      </c>
      <c r="C90" s="75" t="s">
        <v>337</v>
      </c>
      <c r="D90" s="400" t="s">
        <v>99</v>
      </c>
      <c r="E90" s="75"/>
      <c r="F90" s="75">
        <v>1000</v>
      </c>
      <c r="G90" s="173"/>
      <c r="H90" s="234">
        <f t="shared" si="1"/>
        <v>2981</v>
      </c>
      <c r="I90" s="402" t="s">
        <v>111</v>
      </c>
      <c r="J90" s="124" t="s">
        <v>380</v>
      </c>
      <c r="K90" s="176"/>
    </row>
    <row r="91" spans="1:11" ht="15.6">
      <c r="A91" s="212">
        <v>46106</v>
      </c>
      <c r="B91" s="75" t="s">
        <v>187</v>
      </c>
      <c r="C91" s="75" t="s">
        <v>337</v>
      </c>
      <c r="D91" s="400" t="s">
        <v>99</v>
      </c>
      <c r="E91" s="75"/>
      <c r="F91" s="75">
        <v>1000</v>
      </c>
      <c r="G91" s="173"/>
      <c r="H91" s="234">
        <f t="shared" si="1"/>
        <v>1981</v>
      </c>
      <c r="I91" s="402" t="s">
        <v>111</v>
      </c>
      <c r="J91" s="124" t="s">
        <v>380</v>
      </c>
      <c r="K91" s="176"/>
    </row>
    <row r="92" spans="1:11" ht="15.6">
      <c r="A92" s="212">
        <v>46107</v>
      </c>
      <c r="B92" s="75" t="s">
        <v>186</v>
      </c>
      <c r="C92" s="75" t="s">
        <v>337</v>
      </c>
      <c r="D92" s="400" t="s">
        <v>99</v>
      </c>
      <c r="E92" s="75"/>
      <c r="F92" s="75">
        <v>1000</v>
      </c>
      <c r="G92" s="173"/>
      <c r="H92" s="234">
        <f t="shared" si="1"/>
        <v>981</v>
      </c>
      <c r="I92" s="402" t="s">
        <v>111</v>
      </c>
      <c r="J92" s="124" t="s">
        <v>380</v>
      </c>
      <c r="K92" s="176"/>
    </row>
    <row r="93" spans="1:11" ht="15.6">
      <c r="A93" s="212">
        <v>46107</v>
      </c>
      <c r="B93" s="75" t="s">
        <v>364</v>
      </c>
      <c r="C93" s="75" t="s">
        <v>337</v>
      </c>
      <c r="D93" s="400" t="s">
        <v>99</v>
      </c>
      <c r="E93" s="75"/>
      <c r="F93" s="75">
        <v>1000</v>
      </c>
      <c r="G93" s="173"/>
      <c r="H93" s="234">
        <f t="shared" si="1"/>
        <v>-19</v>
      </c>
      <c r="I93" s="402" t="s">
        <v>111</v>
      </c>
      <c r="J93" s="124" t="s">
        <v>380</v>
      </c>
      <c r="K93" s="176"/>
    </row>
    <row r="94" spans="1:11" ht="15.6">
      <c r="A94" s="212">
        <v>46107</v>
      </c>
      <c r="B94" s="75" t="s">
        <v>369</v>
      </c>
      <c r="C94" s="75" t="s">
        <v>337</v>
      </c>
      <c r="D94" s="400" t="s">
        <v>99</v>
      </c>
      <c r="E94" s="75"/>
      <c r="F94" s="75">
        <v>1000</v>
      </c>
      <c r="G94" s="173"/>
      <c r="H94" s="234">
        <f t="shared" si="1"/>
        <v>-1019</v>
      </c>
      <c r="I94" s="402" t="s">
        <v>111</v>
      </c>
      <c r="J94" s="124" t="s">
        <v>380</v>
      </c>
      <c r="K94" s="176"/>
    </row>
    <row r="95" spans="1:11" ht="15.6">
      <c r="A95" s="212">
        <v>46107</v>
      </c>
      <c r="B95" s="75" t="s">
        <v>187</v>
      </c>
      <c r="C95" s="75" t="s">
        <v>337</v>
      </c>
      <c r="D95" s="400" t="s">
        <v>99</v>
      </c>
      <c r="E95" s="75"/>
      <c r="F95" s="75">
        <v>1000</v>
      </c>
      <c r="G95" s="173"/>
      <c r="H95" s="234">
        <f t="shared" si="1"/>
        <v>-2019</v>
      </c>
      <c r="I95" s="402" t="s">
        <v>111</v>
      </c>
      <c r="J95" s="124" t="s">
        <v>380</v>
      </c>
      <c r="K95" s="176"/>
    </row>
    <row r="96" spans="1:11" ht="15.6">
      <c r="A96" s="212">
        <v>46108</v>
      </c>
      <c r="B96" s="75" t="s">
        <v>186</v>
      </c>
      <c r="C96" s="75" t="s">
        <v>337</v>
      </c>
      <c r="D96" s="400" t="s">
        <v>99</v>
      </c>
      <c r="E96" s="75"/>
      <c r="F96" s="75">
        <v>1000</v>
      </c>
      <c r="G96" s="173"/>
      <c r="H96" s="234">
        <f t="shared" si="1"/>
        <v>-3019</v>
      </c>
      <c r="I96" s="402" t="s">
        <v>111</v>
      </c>
      <c r="J96" s="124" t="s">
        <v>380</v>
      </c>
      <c r="K96" s="176"/>
    </row>
    <row r="97" spans="1:11" ht="15.6">
      <c r="A97" s="212">
        <v>46108</v>
      </c>
      <c r="B97" s="75" t="s">
        <v>187</v>
      </c>
      <c r="C97" s="75" t="s">
        <v>337</v>
      </c>
      <c r="D97" s="400" t="s">
        <v>99</v>
      </c>
      <c r="E97" s="75"/>
      <c r="F97" s="75">
        <v>1000</v>
      </c>
      <c r="G97" s="173"/>
      <c r="H97" s="234">
        <f t="shared" si="1"/>
        <v>-4019</v>
      </c>
      <c r="I97" s="402" t="s">
        <v>111</v>
      </c>
      <c r="J97" s="124" t="s">
        <v>380</v>
      </c>
      <c r="K97" s="176"/>
    </row>
    <row r="98" spans="1:11" ht="15.6">
      <c r="A98" s="212">
        <v>46111</v>
      </c>
      <c r="B98" s="75" t="s">
        <v>186</v>
      </c>
      <c r="C98" s="75" t="s">
        <v>337</v>
      </c>
      <c r="D98" s="400" t="s">
        <v>99</v>
      </c>
      <c r="E98" s="75"/>
      <c r="F98" s="75">
        <v>1000</v>
      </c>
      <c r="G98" s="173"/>
      <c r="H98" s="234">
        <f t="shared" si="1"/>
        <v>-5019</v>
      </c>
      <c r="I98" s="402" t="s">
        <v>111</v>
      </c>
      <c r="J98" s="124" t="s">
        <v>380</v>
      </c>
      <c r="K98" s="176"/>
    </row>
    <row r="99" spans="1:11" ht="15.6">
      <c r="A99" s="212">
        <v>46111</v>
      </c>
      <c r="B99" s="75" t="s">
        <v>187</v>
      </c>
      <c r="C99" s="75" t="s">
        <v>337</v>
      </c>
      <c r="D99" s="400" t="s">
        <v>99</v>
      </c>
      <c r="E99" s="75"/>
      <c r="F99" s="75">
        <v>1000</v>
      </c>
      <c r="G99" s="173"/>
      <c r="H99" s="234">
        <f t="shared" si="1"/>
        <v>-6019</v>
      </c>
      <c r="I99" s="402" t="s">
        <v>111</v>
      </c>
      <c r="J99" s="124" t="s">
        <v>380</v>
      </c>
      <c r="K99" s="176"/>
    </row>
    <row r="100" spans="1:11" ht="15.6">
      <c r="A100" s="212">
        <v>46112</v>
      </c>
      <c r="B100" s="75" t="s">
        <v>186</v>
      </c>
      <c r="C100" s="75" t="s">
        <v>337</v>
      </c>
      <c r="D100" s="400" t="s">
        <v>99</v>
      </c>
      <c r="E100" s="75"/>
      <c r="F100" s="75">
        <v>1000</v>
      </c>
      <c r="G100" s="173"/>
      <c r="H100" s="234">
        <f t="shared" si="1"/>
        <v>-7019</v>
      </c>
      <c r="I100" s="402" t="s">
        <v>111</v>
      </c>
      <c r="J100" s="124" t="s">
        <v>380</v>
      </c>
      <c r="K100" s="176"/>
    </row>
    <row r="101" spans="1:11" ht="15.6">
      <c r="A101" s="212">
        <v>46112</v>
      </c>
      <c r="B101" s="75" t="s">
        <v>377</v>
      </c>
      <c r="C101" s="75" t="s">
        <v>337</v>
      </c>
      <c r="D101" s="400" t="s">
        <v>99</v>
      </c>
      <c r="E101" s="75"/>
      <c r="F101" s="75">
        <v>1000</v>
      </c>
      <c r="G101" s="173"/>
      <c r="H101" s="234">
        <f t="shared" si="1"/>
        <v>-8019</v>
      </c>
      <c r="I101" s="402" t="s">
        <v>111</v>
      </c>
      <c r="J101" s="124" t="s">
        <v>380</v>
      </c>
      <c r="K101" s="176"/>
    </row>
    <row r="102" spans="1:11" ht="15.6">
      <c r="A102" s="212">
        <v>46112</v>
      </c>
      <c r="B102" s="75" t="s">
        <v>378</v>
      </c>
      <c r="C102" s="75" t="s">
        <v>337</v>
      </c>
      <c r="D102" s="400" t="s">
        <v>99</v>
      </c>
      <c r="E102" s="75"/>
      <c r="F102" s="75">
        <v>1000</v>
      </c>
      <c r="G102" s="173"/>
      <c r="H102" s="234">
        <f t="shared" si="1"/>
        <v>-9019</v>
      </c>
      <c r="I102" s="402" t="s">
        <v>111</v>
      </c>
      <c r="J102" s="124" t="s">
        <v>380</v>
      </c>
      <c r="K102" s="176"/>
    </row>
    <row r="103" spans="1:11" ht="15.6">
      <c r="A103" s="212">
        <v>46112</v>
      </c>
      <c r="B103" s="75" t="s">
        <v>187</v>
      </c>
      <c r="C103" s="75" t="s">
        <v>337</v>
      </c>
      <c r="D103" s="400" t="s">
        <v>99</v>
      </c>
      <c r="E103" s="75"/>
      <c r="F103" s="75">
        <v>1000</v>
      </c>
      <c r="G103" s="173"/>
      <c r="H103" s="234">
        <f t="shared" si="1"/>
        <v>-10019</v>
      </c>
      <c r="I103" s="402" t="s">
        <v>111</v>
      </c>
      <c r="J103" s="124" t="s">
        <v>380</v>
      </c>
      <c r="K103" s="176"/>
    </row>
    <row r="104" spans="1:11" ht="15.6">
      <c r="A104" s="212">
        <v>46112</v>
      </c>
      <c r="B104" s="75" t="s">
        <v>348</v>
      </c>
      <c r="C104" s="75" t="s">
        <v>102</v>
      </c>
      <c r="D104" s="400" t="s">
        <v>379</v>
      </c>
      <c r="E104" s="75">
        <v>20000</v>
      </c>
      <c r="F104" s="75"/>
      <c r="G104" s="173"/>
      <c r="H104" s="234">
        <f t="shared" si="1"/>
        <v>9981</v>
      </c>
      <c r="I104" s="402" t="s">
        <v>111</v>
      </c>
      <c r="J104" s="124" t="s">
        <v>393</v>
      </c>
      <c r="K104" s="176"/>
    </row>
    <row r="105" spans="1:11" ht="15.6">
      <c r="A105" s="187"/>
      <c r="B105" s="176"/>
      <c r="C105" s="176"/>
      <c r="D105" s="176"/>
      <c r="E105" s="180">
        <f>SUM(E4:E104)</f>
        <v>1544964</v>
      </c>
      <c r="F105" s="180">
        <f>SUM(F4:F104)</f>
        <v>729464</v>
      </c>
      <c r="G105" s="180"/>
      <c r="H105" s="235">
        <f>+H4+E105-F105</f>
        <v>9981</v>
      </c>
      <c r="I105" s="226"/>
      <c r="J105" s="176"/>
      <c r="K105" s="176"/>
    </row>
    <row r="106" spans="1:11" ht="15.6">
      <c r="A106" s="178"/>
      <c r="B106" s="176"/>
      <c r="C106" s="179" t="s">
        <v>148</v>
      </c>
      <c r="D106" s="176"/>
      <c r="E106" s="180"/>
      <c r="F106" s="180"/>
      <c r="G106" s="180"/>
      <c r="H106" s="181"/>
      <c r="I106" s="176"/>
      <c r="J106" s="176"/>
      <c r="K106" s="176"/>
    </row>
    <row r="107" spans="1:11" ht="15.6">
      <c r="A107" s="178"/>
      <c r="B107" s="176"/>
      <c r="C107" s="179"/>
      <c r="D107" s="176"/>
      <c r="E107" s="180"/>
      <c r="F107" s="180"/>
      <c r="G107" s="180"/>
      <c r="H107" s="181"/>
      <c r="I107" s="176"/>
      <c r="J107" s="176"/>
      <c r="K107" s="176"/>
    </row>
    <row r="108" spans="1:11" ht="15.6">
      <c r="A108" s="182" t="s">
        <v>0</v>
      </c>
      <c r="B108" s="183" t="s">
        <v>141</v>
      </c>
      <c r="C108" s="183" t="s">
        <v>142</v>
      </c>
      <c r="D108" s="183" t="s">
        <v>143</v>
      </c>
      <c r="E108" s="184" t="s">
        <v>144</v>
      </c>
      <c r="F108" s="184" t="s">
        <v>145</v>
      </c>
      <c r="G108" s="184"/>
      <c r="H108" s="185" t="s">
        <v>30</v>
      </c>
      <c r="I108" s="183" t="s">
        <v>146</v>
      </c>
      <c r="J108" s="183" t="s">
        <v>147</v>
      </c>
      <c r="K108" s="186"/>
    </row>
    <row r="109" spans="1:11" ht="15.6">
      <c r="A109" s="404">
        <v>46082</v>
      </c>
      <c r="B109" s="405" t="s">
        <v>857</v>
      </c>
      <c r="C109" s="405"/>
      <c r="D109" s="405"/>
      <c r="E109" s="406"/>
      <c r="F109" s="406"/>
      <c r="G109" s="406"/>
      <c r="H109" s="407">
        <v>35020</v>
      </c>
      <c r="I109" s="408" t="s">
        <v>128</v>
      </c>
      <c r="J109" s="405"/>
      <c r="K109" s="176"/>
    </row>
    <row r="110" spans="1:11" ht="15.6">
      <c r="A110" s="409">
        <v>46083</v>
      </c>
      <c r="B110" s="410" t="s">
        <v>394</v>
      </c>
      <c r="C110" s="411" t="s">
        <v>110</v>
      </c>
      <c r="D110" s="412" t="s">
        <v>97</v>
      </c>
      <c r="E110" s="414">
        <v>7500</v>
      </c>
      <c r="F110" s="414"/>
      <c r="G110" s="406"/>
      <c r="H110" s="407">
        <f>+H109+E110-F110</f>
        <v>42520</v>
      </c>
      <c r="I110" s="422" t="s">
        <v>128</v>
      </c>
      <c r="J110" s="414" t="s">
        <v>425</v>
      </c>
      <c r="K110" s="176"/>
    </row>
    <row r="111" spans="1:11" ht="15.6">
      <c r="A111" s="409">
        <v>46083</v>
      </c>
      <c r="B111" s="410" t="s">
        <v>394</v>
      </c>
      <c r="C111" s="411" t="s">
        <v>110</v>
      </c>
      <c r="D111" s="412" t="s">
        <v>97</v>
      </c>
      <c r="E111" s="414"/>
      <c r="F111" s="414">
        <v>7500</v>
      </c>
      <c r="G111" s="406"/>
      <c r="H111" s="407">
        <f t="shared" ref="H111:H143" si="2">+H110+E111-F111</f>
        <v>35020</v>
      </c>
      <c r="I111" s="422" t="s">
        <v>128</v>
      </c>
      <c r="J111" s="414" t="s">
        <v>425</v>
      </c>
      <c r="K111" s="176"/>
    </row>
    <row r="112" spans="1:11" ht="15.6">
      <c r="A112" s="409">
        <v>46090</v>
      </c>
      <c r="B112" s="413" t="s">
        <v>395</v>
      </c>
      <c r="C112" s="413" t="s">
        <v>104</v>
      </c>
      <c r="D112" s="412" t="s">
        <v>97</v>
      </c>
      <c r="E112" s="94">
        <v>154370</v>
      </c>
      <c r="F112" s="414"/>
      <c r="G112" s="406"/>
      <c r="H112" s="407">
        <f t="shared" si="2"/>
        <v>189390</v>
      </c>
      <c r="I112" s="422" t="s">
        <v>128</v>
      </c>
      <c r="J112" s="75" t="s">
        <v>426</v>
      </c>
      <c r="K112" s="176"/>
    </row>
    <row r="113" spans="1:11" ht="15.6">
      <c r="A113" s="409">
        <v>46090</v>
      </c>
      <c r="B113" s="413" t="s">
        <v>395</v>
      </c>
      <c r="C113" s="413" t="s">
        <v>104</v>
      </c>
      <c r="D113" s="412" t="s">
        <v>97</v>
      </c>
      <c r="E113" s="414"/>
      <c r="F113" s="94">
        <v>154370</v>
      </c>
      <c r="G113" s="406"/>
      <c r="H113" s="407">
        <f t="shared" si="2"/>
        <v>35020</v>
      </c>
      <c r="I113" s="422" t="s">
        <v>128</v>
      </c>
      <c r="J113" s="75" t="s">
        <v>426</v>
      </c>
      <c r="K113" s="176"/>
    </row>
    <row r="114" spans="1:11" ht="15.6">
      <c r="A114" s="409">
        <v>46091</v>
      </c>
      <c r="B114" s="410" t="s">
        <v>396</v>
      </c>
      <c r="C114" s="411" t="s">
        <v>110</v>
      </c>
      <c r="D114" s="412" t="s">
        <v>97</v>
      </c>
      <c r="E114" s="414">
        <v>7500</v>
      </c>
      <c r="F114" s="414"/>
      <c r="G114" s="406"/>
      <c r="H114" s="407">
        <f t="shared" si="2"/>
        <v>42520</v>
      </c>
      <c r="I114" s="422" t="s">
        <v>128</v>
      </c>
      <c r="J114" s="414" t="s">
        <v>427</v>
      </c>
      <c r="K114" s="176"/>
    </row>
    <row r="115" spans="1:11" ht="15.6">
      <c r="A115" s="409">
        <v>46091</v>
      </c>
      <c r="B115" s="410" t="s">
        <v>396</v>
      </c>
      <c r="C115" s="411" t="s">
        <v>110</v>
      </c>
      <c r="D115" s="412" t="s">
        <v>97</v>
      </c>
      <c r="E115" s="414"/>
      <c r="F115" s="414">
        <v>7500</v>
      </c>
      <c r="G115" s="406"/>
      <c r="H115" s="407">
        <f t="shared" si="2"/>
        <v>35020</v>
      </c>
      <c r="I115" s="422" t="s">
        <v>128</v>
      </c>
      <c r="J115" s="414" t="s">
        <v>427</v>
      </c>
      <c r="K115" s="176"/>
    </row>
    <row r="116" spans="1:11" ht="15.6">
      <c r="A116" s="409">
        <v>46099</v>
      </c>
      <c r="B116" s="410" t="s">
        <v>397</v>
      </c>
      <c r="C116" s="411" t="s">
        <v>110</v>
      </c>
      <c r="D116" s="412" t="s">
        <v>97</v>
      </c>
      <c r="E116" s="414">
        <v>7500</v>
      </c>
      <c r="F116" s="414"/>
      <c r="G116" s="406"/>
      <c r="H116" s="407">
        <f t="shared" si="2"/>
        <v>42520</v>
      </c>
      <c r="I116" s="422" t="s">
        <v>128</v>
      </c>
      <c r="J116" s="414" t="s">
        <v>428</v>
      </c>
      <c r="K116" s="176"/>
    </row>
    <row r="117" spans="1:11" ht="15.6">
      <c r="A117" s="409">
        <v>46099</v>
      </c>
      <c r="B117" s="410" t="s">
        <v>397</v>
      </c>
      <c r="C117" s="411" t="s">
        <v>110</v>
      </c>
      <c r="D117" s="412" t="s">
        <v>97</v>
      </c>
      <c r="E117" s="414"/>
      <c r="F117" s="414">
        <v>7500</v>
      </c>
      <c r="G117" s="406"/>
      <c r="H117" s="407">
        <f t="shared" si="2"/>
        <v>35020</v>
      </c>
      <c r="I117" s="422" t="s">
        <v>128</v>
      </c>
      <c r="J117" s="414" t="s">
        <v>428</v>
      </c>
      <c r="K117" s="176"/>
    </row>
    <row r="118" spans="1:11" ht="15.6">
      <c r="A118" s="409">
        <v>46105</v>
      </c>
      <c r="B118" s="410" t="s">
        <v>398</v>
      </c>
      <c r="C118" s="411" t="s">
        <v>110</v>
      </c>
      <c r="D118" s="412" t="s">
        <v>97</v>
      </c>
      <c r="E118" s="414">
        <v>7500</v>
      </c>
      <c r="F118" s="414"/>
      <c r="G118" s="406"/>
      <c r="H118" s="407">
        <f t="shared" si="2"/>
        <v>42520</v>
      </c>
      <c r="I118" s="422" t="s">
        <v>128</v>
      </c>
      <c r="J118" s="414" t="s">
        <v>429</v>
      </c>
      <c r="K118" s="176"/>
    </row>
    <row r="119" spans="1:11" ht="15.6">
      <c r="A119" s="409">
        <v>46105</v>
      </c>
      <c r="B119" s="410" t="s">
        <v>398</v>
      </c>
      <c r="C119" s="411" t="s">
        <v>110</v>
      </c>
      <c r="D119" s="412" t="s">
        <v>97</v>
      </c>
      <c r="E119" s="414"/>
      <c r="F119" s="414">
        <v>7500</v>
      </c>
      <c r="G119" s="406"/>
      <c r="H119" s="407">
        <f t="shared" si="2"/>
        <v>35020</v>
      </c>
      <c r="I119" s="422" t="s">
        <v>128</v>
      </c>
      <c r="J119" s="414" t="s">
        <v>429</v>
      </c>
      <c r="K119" s="176"/>
    </row>
    <row r="120" spans="1:11" ht="15.6">
      <c r="A120" s="409">
        <v>46108</v>
      </c>
      <c r="B120" s="414" t="s">
        <v>399</v>
      </c>
      <c r="C120" s="414" t="s">
        <v>102</v>
      </c>
      <c r="D120" s="412" t="s">
        <v>97</v>
      </c>
      <c r="E120" s="414">
        <v>62000</v>
      </c>
      <c r="F120" s="414"/>
      <c r="G120" s="406"/>
      <c r="H120" s="407">
        <f t="shared" si="2"/>
        <v>97020</v>
      </c>
      <c r="I120" s="422" t="s">
        <v>128</v>
      </c>
      <c r="J120" s="414" t="s">
        <v>430</v>
      </c>
      <c r="K120" s="176"/>
    </row>
    <row r="121" spans="1:11" ht="15.6">
      <c r="A121" s="409">
        <v>46109</v>
      </c>
      <c r="B121" s="414" t="s">
        <v>400</v>
      </c>
      <c r="C121" s="414" t="s">
        <v>337</v>
      </c>
      <c r="D121" s="412" t="s">
        <v>97</v>
      </c>
      <c r="E121" s="414"/>
      <c r="F121" s="414">
        <v>1000</v>
      </c>
      <c r="G121" s="406"/>
      <c r="H121" s="407">
        <f t="shared" si="2"/>
        <v>96020</v>
      </c>
      <c r="I121" s="422" t="s">
        <v>128</v>
      </c>
      <c r="J121" s="414" t="s">
        <v>431</v>
      </c>
      <c r="K121" s="176"/>
    </row>
    <row r="122" spans="1:11" ht="15.6">
      <c r="A122" s="415">
        <v>46109</v>
      </c>
      <c r="B122" s="416" t="s">
        <v>401</v>
      </c>
      <c r="C122" s="416" t="s">
        <v>402</v>
      </c>
      <c r="D122" s="417" t="s">
        <v>97</v>
      </c>
      <c r="E122" s="416"/>
      <c r="F122" s="416">
        <v>8000</v>
      </c>
      <c r="G122" s="406"/>
      <c r="H122" s="407">
        <f t="shared" si="2"/>
        <v>88020</v>
      </c>
      <c r="I122" s="423" t="s">
        <v>128</v>
      </c>
      <c r="J122" s="414" t="s">
        <v>432</v>
      </c>
      <c r="K122" s="176"/>
    </row>
    <row r="123" spans="1:11" ht="15.6">
      <c r="A123" s="409">
        <v>46109</v>
      </c>
      <c r="B123" s="414" t="s">
        <v>403</v>
      </c>
      <c r="C123" s="414" t="s">
        <v>337</v>
      </c>
      <c r="D123" s="412" t="s">
        <v>97</v>
      </c>
      <c r="E123" s="414"/>
      <c r="F123" s="414">
        <v>1000</v>
      </c>
      <c r="G123" s="406"/>
      <c r="H123" s="407">
        <f t="shared" si="2"/>
        <v>87020</v>
      </c>
      <c r="I123" s="422" t="s">
        <v>128</v>
      </c>
      <c r="J123" s="414" t="s">
        <v>431</v>
      </c>
      <c r="K123" s="176"/>
    </row>
    <row r="124" spans="1:11" ht="15.6">
      <c r="A124" s="409">
        <v>46110</v>
      </c>
      <c r="B124" s="414" t="s">
        <v>400</v>
      </c>
      <c r="C124" s="414" t="s">
        <v>337</v>
      </c>
      <c r="D124" s="412" t="s">
        <v>97</v>
      </c>
      <c r="E124" s="414"/>
      <c r="F124" s="414">
        <v>1000</v>
      </c>
      <c r="G124" s="406"/>
      <c r="H124" s="407">
        <f t="shared" si="2"/>
        <v>86020</v>
      </c>
      <c r="I124" s="422" t="s">
        <v>128</v>
      </c>
      <c r="J124" s="414" t="s">
        <v>431</v>
      </c>
      <c r="K124" s="176"/>
    </row>
    <row r="125" spans="1:11" ht="15.6">
      <c r="A125" s="409">
        <v>46110</v>
      </c>
      <c r="B125" s="414" t="s">
        <v>404</v>
      </c>
      <c r="C125" s="414" t="s">
        <v>337</v>
      </c>
      <c r="D125" s="412" t="s">
        <v>97</v>
      </c>
      <c r="E125" s="414"/>
      <c r="F125" s="414">
        <v>300</v>
      </c>
      <c r="G125" s="406"/>
      <c r="H125" s="407">
        <f t="shared" si="2"/>
        <v>85720</v>
      </c>
      <c r="I125" s="422" t="s">
        <v>128</v>
      </c>
      <c r="J125" s="414" t="s">
        <v>431</v>
      </c>
      <c r="K125" s="176"/>
    </row>
    <row r="126" spans="1:11" ht="15.6">
      <c r="A126" s="415">
        <v>46110</v>
      </c>
      <c r="B126" s="416" t="s">
        <v>405</v>
      </c>
      <c r="C126" s="416" t="s">
        <v>406</v>
      </c>
      <c r="D126" s="417" t="s">
        <v>97</v>
      </c>
      <c r="E126" s="416"/>
      <c r="F126" s="416">
        <v>20000</v>
      </c>
      <c r="G126" s="406"/>
      <c r="H126" s="407">
        <f t="shared" si="2"/>
        <v>65720</v>
      </c>
      <c r="I126" s="423" t="s">
        <v>128</v>
      </c>
      <c r="J126" s="416" t="s">
        <v>433</v>
      </c>
      <c r="K126" s="176"/>
    </row>
    <row r="127" spans="1:11" ht="15.6">
      <c r="A127" s="409">
        <v>46111</v>
      </c>
      <c r="B127" s="414" t="s">
        <v>407</v>
      </c>
      <c r="C127" s="414" t="s">
        <v>337</v>
      </c>
      <c r="D127" s="412" t="s">
        <v>97</v>
      </c>
      <c r="E127" s="414"/>
      <c r="F127" s="414">
        <v>500</v>
      </c>
      <c r="G127" s="406"/>
      <c r="H127" s="407">
        <f t="shared" si="2"/>
        <v>65220</v>
      </c>
      <c r="I127" s="422" t="s">
        <v>128</v>
      </c>
      <c r="J127" s="414" t="s">
        <v>431</v>
      </c>
      <c r="K127" s="176"/>
    </row>
    <row r="128" spans="1:11" ht="15.6">
      <c r="A128" s="409">
        <v>46111</v>
      </c>
      <c r="B128" s="414" t="s">
        <v>408</v>
      </c>
      <c r="C128" s="414" t="s">
        <v>337</v>
      </c>
      <c r="D128" s="412" t="s">
        <v>97</v>
      </c>
      <c r="E128" s="414"/>
      <c r="F128" s="414">
        <v>500</v>
      </c>
      <c r="G128" s="406"/>
      <c r="H128" s="407">
        <f t="shared" si="2"/>
        <v>64720</v>
      </c>
      <c r="I128" s="422" t="s">
        <v>128</v>
      </c>
      <c r="J128" s="414" t="s">
        <v>431</v>
      </c>
      <c r="K128" s="176"/>
    </row>
    <row r="129" spans="1:11" ht="15.6">
      <c r="A129" s="415">
        <v>46111</v>
      </c>
      <c r="B129" s="416" t="s">
        <v>409</v>
      </c>
      <c r="C129" s="416" t="s">
        <v>402</v>
      </c>
      <c r="D129" s="417" t="s">
        <v>97</v>
      </c>
      <c r="E129" s="416"/>
      <c r="F129" s="416">
        <v>5000</v>
      </c>
      <c r="G129" s="406"/>
      <c r="H129" s="407">
        <f t="shared" si="2"/>
        <v>59720</v>
      </c>
      <c r="I129" s="423" t="s">
        <v>128</v>
      </c>
      <c r="J129" s="414" t="s">
        <v>434</v>
      </c>
      <c r="K129" s="176"/>
    </row>
    <row r="130" spans="1:11" ht="15.6">
      <c r="A130" s="409">
        <v>46111</v>
      </c>
      <c r="B130" s="414" t="s">
        <v>410</v>
      </c>
      <c r="C130" s="414" t="s">
        <v>337</v>
      </c>
      <c r="D130" s="412" t="s">
        <v>97</v>
      </c>
      <c r="E130" s="414"/>
      <c r="F130" s="414">
        <v>300</v>
      </c>
      <c r="G130" s="406"/>
      <c r="H130" s="407">
        <f t="shared" si="2"/>
        <v>59420</v>
      </c>
      <c r="I130" s="422" t="s">
        <v>128</v>
      </c>
      <c r="J130" s="414" t="s">
        <v>431</v>
      </c>
      <c r="K130" s="176"/>
    </row>
    <row r="131" spans="1:11" ht="15.6">
      <c r="A131" s="409">
        <v>46111</v>
      </c>
      <c r="B131" s="414" t="s">
        <v>411</v>
      </c>
      <c r="C131" s="414" t="s">
        <v>337</v>
      </c>
      <c r="D131" s="412" t="s">
        <v>97</v>
      </c>
      <c r="E131" s="414"/>
      <c r="F131" s="414">
        <v>300</v>
      </c>
      <c r="G131" s="406"/>
      <c r="H131" s="407">
        <f t="shared" si="2"/>
        <v>59120</v>
      </c>
      <c r="I131" s="422" t="s">
        <v>128</v>
      </c>
      <c r="J131" s="414" t="s">
        <v>431</v>
      </c>
      <c r="K131" s="176"/>
    </row>
    <row r="132" spans="1:11" ht="15.6">
      <c r="A132" s="409">
        <v>46111</v>
      </c>
      <c r="B132" s="414" t="s">
        <v>412</v>
      </c>
      <c r="C132" s="414" t="s">
        <v>337</v>
      </c>
      <c r="D132" s="412" t="s">
        <v>97</v>
      </c>
      <c r="E132" s="414"/>
      <c r="F132" s="414">
        <v>500</v>
      </c>
      <c r="G132" s="406"/>
      <c r="H132" s="407">
        <f t="shared" si="2"/>
        <v>58620</v>
      </c>
      <c r="I132" s="422" t="s">
        <v>128</v>
      </c>
      <c r="J132" s="414" t="s">
        <v>431</v>
      </c>
      <c r="K132" s="176"/>
    </row>
    <row r="133" spans="1:11" ht="15.6">
      <c r="A133" s="415">
        <v>46111</v>
      </c>
      <c r="B133" s="416" t="s">
        <v>413</v>
      </c>
      <c r="C133" s="416" t="s">
        <v>414</v>
      </c>
      <c r="D133" s="417" t="s">
        <v>97</v>
      </c>
      <c r="E133" s="416"/>
      <c r="F133" s="416">
        <v>3000</v>
      </c>
      <c r="G133" s="406"/>
      <c r="H133" s="407">
        <f t="shared" si="2"/>
        <v>55620</v>
      </c>
      <c r="I133" s="423" t="s">
        <v>128</v>
      </c>
      <c r="J133" s="416" t="s">
        <v>435</v>
      </c>
      <c r="K133" s="176"/>
    </row>
    <row r="134" spans="1:11" ht="15.6">
      <c r="A134" s="409">
        <v>46111</v>
      </c>
      <c r="B134" s="414" t="s">
        <v>415</v>
      </c>
      <c r="C134" s="414" t="s">
        <v>337</v>
      </c>
      <c r="D134" s="412" t="s">
        <v>97</v>
      </c>
      <c r="E134" s="414"/>
      <c r="F134" s="414">
        <v>500</v>
      </c>
      <c r="G134" s="406"/>
      <c r="H134" s="407">
        <f t="shared" si="2"/>
        <v>55120</v>
      </c>
      <c r="I134" s="422" t="s">
        <v>128</v>
      </c>
      <c r="J134" s="414" t="s">
        <v>431</v>
      </c>
      <c r="K134" s="176"/>
    </row>
    <row r="135" spans="1:11" ht="15.6">
      <c r="A135" s="409">
        <v>46111</v>
      </c>
      <c r="B135" s="414" t="s">
        <v>416</v>
      </c>
      <c r="C135" s="414" t="s">
        <v>337</v>
      </c>
      <c r="D135" s="412" t="s">
        <v>97</v>
      </c>
      <c r="E135" s="414"/>
      <c r="F135" s="414">
        <v>500</v>
      </c>
      <c r="G135" s="406"/>
      <c r="H135" s="407">
        <f t="shared" si="2"/>
        <v>54620</v>
      </c>
      <c r="I135" s="422" t="s">
        <v>128</v>
      </c>
      <c r="J135" s="414" t="s">
        <v>431</v>
      </c>
      <c r="K135" s="176"/>
    </row>
    <row r="136" spans="1:11" ht="15.6">
      <c r="A136" s="415">
        <v>46111</v>
      </c>
      <c r="B136" s="418" t="s">
        <v>417</v>
      </c>
      <c r="C136" s="418" t="s">
        <v>102</v>
      </c>
      <c r="D136" s="417" t="s">
        <v>97</v>
      </c>
      <c r="E136" s="421">
        <v>100000</v>
      </c>
      <c r="F136" s="421"/>
      <c r="G136" s="406"/>
      <c r="H136" s="407">
        <f t="shared" si="2"/>
        <v>154620</v>
      </c>
      <c r="I136" s="424" t="s">
        <v>128</v>
      </c>
      <c r="J136" s="416" t="s">
        <v>436</v>
      </c>
      <c r="K136" s="176"/>
    </row>
    <row r="137" spans="1:11" ht="15.6">
      <c r="A137" s="419">
        <v>46112</v>
      </c>
      <c r="B137" s="416" t="s">
        <v>418</v>
      </c>
      <c r="C137" s="416" t="s">
        <v>414</v>
      </c>
      <c r="D137" s="412" t="s">
        <v>97</v>
      </c>
      <c r="E137" s="414"/>
      <c r="F137" s="414">
        <v>3000</v>
      </c>
      <c r="G137" s="406"/>
      <c r="H137" s="407">
        <f t="shared" si="2"/>
        <v>151620</v>
      </c>
      <c r="I137" s="422" t="s">
        <v>128</v>
      </c>
      <c r="J137" s="416" t="s">
        <v>435</v>
      </c>
      <c r="K137" s="176"/>
    </row>
    <row r="138" spans="1:11" ht="15.6">
      <c r="A138" s="419">
        <v>46112</v>
      </c>
      <c r="B138" s="414" t="s">
        <v>419</v>
      </c>
      <c r="C138" s="414" t="s">
        <v>337</v>
      </c>
      <c r="D138" s="412" t="s">
        <v>97</v>
      </c>
      <c r="E138" s="414"/>
      <c r="F138" s="414">
        <v>500</v>
      </c>
      <c r="G138" s="406"/>
      <c r="H138" s="407">
        <f t="shared" si="2"/>
        <v>151120</v>
      </c>
      <c r="I138" s="422" t="s">
        <v>128</v>
      </c>
      <c r="J138" s="414" t="s">
        <v>431</v>
      </c>
      <c r="K138" s="176"/>
    </row>
    <row r="139" spans="1:11" ht="15.6">
      <c r="A139" s="419">
        <v>46112</v>
      </c>
      <c r="B139" s="414" t="s">
        <v>420</v>
      </c>
      <c r="C139" s="414" t="s">
        <v>337</v>
      </c>
      <c r="D139" s="412" t="s">
        <v>97</v>
      </c>
      <c r="E139" s="414"/>
      <c r="F139" s="414">
        <v>300</v>
      </c>
      <c r="G139" s="406"/>
      <c r="H139" s="407">
        <f t="shared" si="2"/>
        <v>150820</v>
      </c>
      <c r="I139" s="422" t="s">
        <v>128</v>
      </c>
      <c r="J139" s="414" t="s">
        <v>431</v>
      </c>
      <c r="K139" s="176"/>
    </row>
    <row r="140" spans="1:11" ht="15.6">
      <c r="A140" s="419">
        <v>46112</v>
      </c>
      <c r="B140" s="414" t="s">
        <v>421</v>
      </c>
      <c r="C140" s="414" t="s">
        <v>337</v>
      </c>
      <c r="D140" s="412" t="s">
        <v>97</v>
      </c>
      <c r="E140" s="414"/>
      <c r="F140" s="414">
        <v>500</v>
      </c>
      <c r="G140" s="406"/>
      <c r="H140" s="407">
        <f t="shared" si="2"/>
        <v>150320</v>
      </c>
      <c r="I140" s="422" t="s">
        <v>128</v>
      </c>
      <c r="J140" s="414" t="s">
        <v>431</v>
      </c>
      <c r="K140" s="176"/>
    </row>
    <row r="141" spans="1:11" ht="15.6">
      <c r="A141" s="420">
        <v>46112</v>
      </c>
      <c r="B141" s="416" t="s">
        <v>422</v>
      </c>
      <c r="C141" s="416" t="s">
        <v>406</v>
      </c>
      <c r="D141" s="417" t="s">
        <v>97</v>
      </c>
      <c r="E141" s="416"/>
      <c r="F141" s="416">
        <v>20000</v>
      </c>
      <c r="G141" s="406"/>
      <c r="H141" s="407">
        <f t="shared" si="2"/>
        <v>130320</v>
      </c>
      <c r="I141" s="423" t="s">
        <v>128</v>
      </c>
      <c r="J141" s="414" t="s">
        <v>437</v>
      </c>
      <c r="K141" s="176"/>
    </row>
    <row r="142" spans="1:11" ht="15.6">
      <c r="A142" s="419">
        <v>46112</v>
      </c>
      <c r="B142" s="414" t="s">
        <v>423</v>
      </c>
      <c r="C142" s="414" t="s">
        <v>337</v>
      </c>
      <c r="D142" s="412" t="s">
        <v>97</v>
      </c>
      <c r="E142" s="414"/>
      <c r="F142" s="414">
        <v>300</v>
      </c>
      <c r="G142" s="406"/>
      <c r="H142" s="407">
        <f t="shared" si="2"/>
        <v>130020</v>
      </c>
      <c r="I142" s="422" t="s">
        <v>128</v>
      </c>
      <c r="J142" s="414" t="s">
        <v>431</v>
      </c>
      <c r="K142" s="176"/>
    </row>
    <row r="143" spans="1:11" ht="15.6">
      <c r="A143" s="419">
        <v>46112</v>
      </c>
      <c r="B143" s="414" t="s">
        <v>424</v>
      </c>
      <c r="C143" s="414" t="s">
        <v>337</v>
      </c>
      <c r="D143" s="412" t="s">
        <v>97</v>
      </c>
      <c r="E143" s="414"/>
      <c r="F143" s="414">
        <v>500</v>
      </c>
      <c r="G143" s="173"/>
      <c r="H143" s="174">
        <f t="shared" si="2"/>
        <v>129520</v>
      </c>
      <c r="I143" s="422" t="s">
        <v>128</v>
      </c>
      <c r="J143" s="414" t="s">
        <v>431</v>
      </c>
      <c r="K143" s="176"/>
    </row>
    <row r="144" spans="1:11" ht="15.6">
      <c r="A144" s="187"/>
      <c r="B144" s="176"/>
      <c r="C144" s="176"/>
      <c r="D144" s="176"/>
      <c r="E144" s="188">
        <f>SUM(E110:E143)</f>
        <v>346370</v>
      </c>
      <c r="F144" s="188">
        <f>SUM(F110:F143)</f>
        <v>251870</v>
      </c>
      <c r="G144" s="188"/>
      <c r="H144" s="181">
        <f>+E144-F144+H109</f>
        <v>129520</v>
      </c>
      <c r="I144" s="176"/>
      <c r="J144" s="176"/>
      <c r="K144" s="176"/>
    </row>
    <row r="145" spans="1:11" ht="15.6">
      <c r="A145" s="187"/>
      <c r="B145" s="176"/>
      <c r="C145" s="176"/>
      <c r="D145" s="176"/>
      <c r="E145" s="180"/>
      <c r="F145" s="180"/>
      <c r="G145" s="180"/>
      <c r="H145" s="181"/>
      <c r="I145" s="176"/>
      <c r="J145" s="176"/>
      <c r="K145" s="176"/>
    </row>
    <row r="146" spans="1:11" ht="15.6">
      <c r="A146" s="187"/>
      <c r="B146" s="176"/>
      <c r="C146" s="179" t="s">
        <v>149</v>
      </c>
      <c r="D146" s="176"/>
      <c r="E146" s="180"/>
      <c r="F146" s="180"/>
      <c r="G146" s="180"/>
      <c r="H146" s="181"/>
      <c r="I146" s="176"/>
      <c r="J146" s="176"/>
      <c r="K146" s="176"/>
    </row>
    <row r="147" spans="1:11" ht="15.6">
      <c r="A147" s="187"/>
      <c r="B147" s="176"/>
      <c r="C147" s="176"/>
      <c r="D147" s="176"/>
      <c r="E147" s="180"/>
      <c r="F147" s="180"/>
      <c r="G147" s="180"/>
      <c r="H147" s="181"/>
      <c r="I147" s="176"/>
      <c r="J147" s="176"/>
      <c r="K147" s="176"/>
    </row>
    <row r="148" spans="1:11" ht="15.6">
      <c r="A148" s="189" t="s">
        <v>0</v>
      </c>
      <c r="B148" s="183" t="s">
        <v>141</v>
      </c>
      <c r="C148" s="183" t="s">
        <v>170</v>
      </c>
      <c r="D148" s="183" t="s">
        <v>142</v>
      </c>
      <c r="E148" s="184" t="s">
        <v>144</v>
      </c>
      <c r="F148" s="184" t="s">
        <v>145</v>
      </c>
      <c r="G148" s="184"/>
      <c r="H148" s="190" t="s">
        <v>30</v>
      </c>
      <c r="I148" s="183" t="s">
        <v>146</v>
      </c>
      <c r="J148" s="183" t="s">
        <v>147</v>
      </c>
      <c r="K148" s="186"/>
    </row>
    <row r="149" spans="1:11" ht="15.6">
      <c r="A149" s="164">
        <v>46082</v>
      </c>
      <c r="B149" s="124" t="s">
        <v>857</v>
      </c>
      <c r="C149" s="177"/>
      <c r="D149" s="177"/>
      <c r="E149" s="177"/>
      <c r="F149" s="177"/>
      <c r="G149" s="177"/>
      <c r="H149" s="191">
        <v>0</v>
      </c>
      <c r="I149" s="177" t="s">
        <v>114</v>
      </c>
      <c r="J149" s="177"/>
      <c r="K149" s="176"/>
    </row>
    <row r="150" spans="1:11" ht="15.6">
      <c r="A150" s="504"/>
      <c r="B150" s="505"/>
      <c r="C150" s="505"/>
      <c r="D150" s="506"/>
      <c r="E150" s="166">
        <f>SUM(E149:E149)</f>
        <v>0</v>
      </c>
      <c r="F150" s="166">
        <f>SUM(F149:F149)</f>
        <v>0</v>
      </c>
      <c r="G150" s="166"/>
      <c r="H150" s="194">
        <f>E150-F150+H149</f>
        <v>0</v>
      </c>
      <c r="I150" s="165"/>
      <c r="J150" s="165"/>
      <c r="K150" s="167"/>
    </row>
    <row r="151" spans="1:11" ht="15.6">
      <c r="A151" s="187"/>
      <c r="B151" s="176"/>
      <c r="C151" s="176"/>
      <c r="D151" s="176"/>
      <c r="E151" s="180"/>
      <c r="F151" s="180"/>
      <c r="G151" s="180"/>
      <c r="H151" s="181"/>
      <c r="I151" s="176"/>
      <c r="J151" s="176"/>
      <c r="K151" s="167"/>
    </row>
    <row r="152" spans="1:11" ht="15.6">
      <c r="A152" s="187"/>
      <c r="B152" s="176"/>
      <c r="C152" s="179" t="s">
        <v>169</v>
      </c>
      <c r="D152" s="176"/>
      <c r="E152" s="180"/>
      <c r="F152" s="180"/>
      <c r="G152" s="180"/>
      <c r="H152" s="181"/>
      <c r="I152" s="176"/>
      <c r="J152" s="176"/>
      <c r="K152" s="167"/>
    </row>
    <row r="153" spans="1:11" ht="15.6">
      <c r="A153" s="187"/>
      <c r="B153" s="176"/>
      <c r="C153" s="176"/>
      <c r="D153" s="176"/>
      <c r="E153" s="180"/>
      <c r="F153" s="180"/>
      <c r="G153" s="180"/>
      <c r="H153" s="181"/>
      <c r="I153" s="176"/>
      <c r="J153" s="176"/>
      <c r="K153" s="167"/>
    </row>
    <row r="154" spans="1:11" ht="15.6">
      <c r="A154" s="189" t="s">
        <v>0</v>
      </c>
      <c r="B154" s="183" t="s">
        <v>141</v>
      </c>
      <c r="C154" s="183" t="s">
        <v>142</v>
      </c>
      <c r="D154" s="183" t="s">
        <v>170</v>
      </c>
      <c r="E154" s="184" t="s">
        <v>144</v>
      </c>
      <c r="F154" s="184" t="s">
        <v>145</v>
      </c>
      <c r="G154" s="184"/>
      <c r="H154" s="190" t="s">
        <v>30</v>
      </c>
      <c r="I154" s="183" t="s">
        <v>146</v>
      </c>
      <c r="J154" s="183" t="s">
        <v>147</v>
      </c>
      <c r="K154" s="167"/>
    </row>
    <row r="155" spans="1:11" ht="15.6">
      <c r="A155" s="164">
        <v>46082</v>
      </c>
      <c r="B155" s="124" t="s">
        <v>857</v>
      </c>
      <c r="C155" s="177"/>
      <c r="D155" s="177"/>
      <c r="E155" s="177"/>
      <c r="F155" s="177"/>
      <c r="G155" s="177"/>
      <c r="H155" s="174">
        <v>-12000</v>
      </c>
      <c r="I155" s="177" t="s">
        <v>168</v>
      </c>
      <c r="J155" s="177"/>
      <c r="K155" s="167"/>
    </row>
    <row r="156" spans="1:11" ht="15.6">
      <c r="A156" s="264">
        <v>46083</v>
      </c>
      <c r="B156" s="211" t="s">
        <v>196</v>
      </c>
      <c r="C156" s="354" t="s">
        <v>337</v>
      </c>
      <c r="D156" s="75" t="s">
        <v>98</v>
      </c>
      <c r="E156" s="209"/>
      <c r="F156" s="210">
        <v>1000</v>
      </c>
      <c r="G156" s="210"/>
      <c r="H156" s="209">
        <f t="shared" ref="H156:H219" si="3">+H155+E156-F156</f>
        <v>-13000</v>
      </c>
      <c r="I156" s="75" t="s">
        <v>168</v>
      </c>
      <c r="J156" s="75" t="s">
        <v>510</v>
      </c>
      <c r="K156" s="167"/>
    </row>
    <row r="157" spans="1:11" ht="15.6">
      <c r="A157" s="264">
        <v>46083</v>
      </c>
      <c r="B157" s="211" t="s">
        <v>438</v>
      </c>
      <c r="C157" s="354" t="s">
        <v>337</v>
      </c>
      <c r="D157" s="75" t="s">
        <v>98</v>
      </c>
      <c r="E157" s="209"/>
      <c r="F157" s="210">
        <v>1000</v>
      </c>
      <c r="G157" s="207"/>
      <c r="H157" s="209">
        <f t="shared" si="3"/>
        <v>-14000</v>
      </c>
      <c r="I157" s="75" t="s">
        <v>168</v>
      </c>
      <c r="J157" s="75" t="s">
        <v>510</v>
      </c>
      <c r="K157" s="167"/>
    </row>
    <row r="158" spans="1:11" ht="15.6">
      <c r="A158" s="264">
        <v>46083</v>
      </c>
      <c r="B158" s="211" t="s">
        <v>439</v>
      </c>
      <c r="C158" s="354" t="s">
        <v>337</v>
      </c>
      <c r="D158" s="75" t="s">
        <v>98</v>
      </c>
      <c r="E158" s="209"/>
      <c r="F158" s="210">
        <v>1000</v>
      </c>
      <c r="G158" s="210"/>
      <c r="H158" s="209">
        <f t="shared" si="3"/>
        <v>-15000</v>
      </c>
      <c r="I158" s="75" t="s">
        <v>168</v>
      </c>
      <c r="J158" s="75" t="s">
        <v>510</v>
      </c>
      <c r="K158" s="167"/>
    </row>
    <row r="159" spans="1:11" ht="15.6">
      <c r="A159" s="264">
        <v>46083</v>
      </c>
      <c r="B159" s="211" t="s">
        <v>440</v>
      </c>
      <c r="C159" s="75" t="s">
        <v>110</v>
      </c>
      <c r="D159" s="211" t="s">
        <v>99</v>
      </c>
      <c r="E159" s="209">
        <v>5000</v>
      </c>
      <c r="F159" s="210"/>
      <c r="G159" s="207"/>
      <c r="H159" s="209">
        <f t="shared" si="3"/>
        <v>-10000</v>
      </c>
      <c r="I159" s="75" t="s">
        <v>168</v>
      </c>
      <c r="J159" s="75" t="s">
        <v>511</v>
      </c>
      <c r="K159" s="167"/>
    </row>
    <row r="160" spans="1:11" ht="15.6">
      <c r="A160" s="264">
        <v>46083</v>
      </c>
      <c r="B160" s="211" t="s">
        <v>440</v>
      </c>
      <c r="C160" s="75" t="s">
        <v>110</v>
      </c>
      <c r="D160" s="211" t="s">
        <v>99</v>
      </c>
      <c r="E160" s="209"/>
      <c r="F160" s="210">
        <v>5000</v>
      </c>
      <c r="G160" s="207"/>
      <c r="H160" s="209">
        <f t="shared" si="3"/>
        <v>-15000</v>
      </c>
      <c r="I160" s="75" t="s">
        <v>168</v>
      </c>
      <c r="J160" s="75" t="s">
        <v>511</v>
      </c>
      <c r="K160" s="167"/>
    </row>
    <row r="161" spans="1:11" ht="15.6">
      <c r="A161" s="264">
        <v>46084</v>
      </c>
      <c r="B161" s="211" t="s">
        <v>441</v>
      </c>
      <c r="C161" s="354" t="s">
        <v>337</v>
      </c>
      <c r="D161" s="75" t="s">
        <v>98</v>
      </c>
      <c r="E161" s="209"/>
      <c r="F161" s="210">
        <v>1000</v>
      </c>
      <c r="G161" s="207"/>
      <c r="H161" s="209">
        <f t="shared" si="3"/>
        <v>-16000</v>
      </c>
      <c r="I161" s="75" t="s">
        <v>168</v>
      </c>
      <c r="J161" s="75" t="s">
        <v>510</v>
      </c>
      <c r="K161" s="167"/>
    </row>
    <row r="162" spans="1:11" ht="15.6">
      <c r="A162" s="264">
        <v>46084</v>
      </c>
      <c r="B162" s="211" t="s">
        <v>327</v>
      </c>
      <c r="C162" s="354" t="s">
        <v>337</v>
      </c>
      <c r="D162" s="75" t="s">
        <v>98</v>
      </c>
      <c r="E162" s="209"/>
      <c r="F162" s="210">
        <v>1000</v>
      </c>
      <c r="G162" s="207"/>
      <c r="H162" s="209">
        <f t="shared" si="3"/>
        <v>-17000</v>
      </c>
      <c r="I162" s="75" t="s">
        <v>168</v>
      </c>
      <c r="J162" s="75" t="s">
        <v>510</v>
      </c>
      <c r="K162" s="167"/>
    </row>
    <row r="163" spans="1:11" ht="15.6">
      <c r="A163" s="264">
        <v>46085</v>
      </c>
      <c r="B163" s="75" t="s">
        <v>442</v>
      </c>
      <c r="C163" s="337" t="s">
        <v>102</v>
      </c>
      <c r="D163" s="75" t="s">
        <v>98</v>
      </c>
      <c r="E163" s="209">
        <v>25000</v>
      </c>
      <c r="F163" s="210"/>
      <c r="G163" s="207"/>
      <c r="H163" s="209">
        <f t="shared" si="3"/>
        <v>8000</v>
      </c>
      <c r="I163" s="75" t="s">
        <v>168</v>
      </c>
      <c r="J163" s="75" t="s">
        <v>512</v>
      </c>
      <c r="K163" s="167"/>
    </row>
    <row r="164" spans="1:11" ht="15.6">
      <c r="A164" s="425">
        <v>46085</v>
      </c>
      <c r="B164" s="124" t="s">
        <v>443</v>
      </c>
      <c r="C164" s="124" t="s">
        <v>103</v>
      </c>
      <c r="D164" s="75" t="s">
        <v>98</v>
      </c>
      <c r="E164" s="94">
        <v>12750</v>
      </c>
      <c r="F164" s="210"/>
      <c r="G164" s="207"/>
      <c r="H164" s="209">
        <f t="shared" si="3"/>
        <v>20750</v>
      </c>
      <c r="I164" s="426" t="s">
        <v>168</v>
      </c>
      <c r="J164" s="403" t="s">
        <v>513</v>
      </c>
      <c r="K164" s="167"/>
    </row>
    <row r="165" spans="1:11" ht="15.6">
      <c r="A165" s="425">
        <v>46085</v>
      </c>
      <c r="B165" s="124" t="s">
        <v>443</v>
      </c>
      <c r="C165" s="124" t="s">
        <v>103</v>
      </c>
      <c r="D165" s="75" t="s">
        <v>98</v>
      </c>
      <c r="E165" s="209"/>
      <c r="F165" s="94">
        <v>12750</v>
      </c>
      <c r="G165" s="207"/>
      <c r="H165" s="209">
        <f t="shared" si="3"/>
        <v>8000</v>
      </c>
      <c r="I165" s="426" t="s">
        <v>168</v>
      </c>
      <c r="J165" s="403" t="s">
        <v>513</v>
      </c>
      <c r="K165" s="167"/>
    </row>
    <row r="166" spans="1:11" ht="15.6">
      <c r="A166" s="264">
        <v>46085</v>
      </c>
      <c r="B166" s="211" t="s">
        <v>444</v>
      </c>
      <c r="C166" s="354" t="s">
        <v>337</v>
      </c>
      <c r="D166" s="75" t="s">
        <v>98</v>
      </c>
      <c r="E166" s="209"/>
      <c r="F166" s="210">
        <v>1000</v>
      </c>
      <c r="G166" s="207"/>
      <c r="H166" s="209">
        <f t="shared" si="3"/>
        <v>7000</v>
      </c>
      <c r="I166" s="75" t="s">
        <v>168</v>
      </c>
      <c r="J166" s="75" t="s">
        <v>510</v>
      </c>
      <c r="K166" s="167"/>
    </row>
    <row r="167" spans="1:11" ht="15.6">
      <c r="A167" s="264">
        <v>46085</v>
      </c>
      <c r="B167" s="211" t="s">
        <v>445</v>
      </c>
      <c r="C167" s="354" t="s">
        <v>337</v>
      </c>
      <c r="D167" s="75" t="s">
        <v>98</v>
      </c>
      <c r="E167" s="209"/>
      <c r="F167" s="210">
        <v>1000</v>
      </c>
      <c r="G167" s="207"/>
      <c r="H167" s="209">
        <f t="shared" si="3"/>
        <v>6000</v>
      </c>
      <c r="I167" s="75" t="s">
        <v>168</v>
      </c>
      <c r="J167" s="75" t="s">
        <v>510</v>
      </c>
      <c r="K167" s="167"/>
    </row>
    <row r="168" spans="1:11" ht="15.6">
      <c r="A168" s="264">
        <v>46085</v>
      </c>
      <c r="B168" s="211" t="s">
        <v>446</v>
      </c>
      <c r="C168" s="354" t="s">
        <v>337</v>
      </c>
      <c r="D168" s="75" t="s">
        <v>98</v>
      </c>
      <c r="E168" s="209"/>
      <c r="F168" s="210">
        <v>1000</v>
      </c>
      <c r="G168" s="207"/>
      <c r="H168" s="209">
        <f t="shared" si="3"/>
        <v>5000</v>
      </c>
      <c r="I168" s="75" t="s">
        <v>168</v>
      </c>
      <c r="J168" s="75" t="s">
        <v>510</v>
      </c>
      <c r="K168" s="167"/>
    </row>
    <row r="169" spans="1:11" ht="15.6">
      <c r="A169" s="264">
        <v>46086</v>
      </c>
      <c r="B169" s="211" t="s">
        <v>447</v>
      </c>
      <c r="C169" s="354" t="s">
        <v>337</v>
      </c>
      <c r="D169" s="75" t="s">
        <v>98</v>
      </c>
      <c r="E169" s="209"/>
      <c r="F169" s="210">
        <v>1000</v>
      </c>
      <c r="G169" s="207"/>
      <c r="H169" s="209">
        <f t="shared" si="3"/>
        <v>4000</v>
      </c>
      <c r="I169" s="75" t="s">
        <v>168</v>
      </c>
      <c r="J169" s="75" t="s">
        <v>510</v>
      </c>
      <c r="K169" s="167"/>
    </row>
    <row r="170" spans="1:11" ht="15.6">
      <c r="A170" s="425">
        <v>46090</v>
      </c>
      <c r="B170" s="211" t="s">
        <v>448</v>
      </c>
      <c r="C170" s="75" t="s">
        <v>104</v>
      </c>
      <c r="D170" s="75" t="s">
        <v>98</v>
      </c>
      <c r="E170" s="94">
        <v>68800</v>
      </c>
      <c r="F170" s="210"/>
      <c r="G170" s="207"/>
      <c r="H170" s="209">
        <f t="shared" si="3"/>
        <v>72800</v>
      </c>
      <c r="I170" s="75" t="s">
        <v>168</v>
      </c>
      <c r="J170" s="75" t="s">
        <v>514</v>
      </c>
      <c r="K170" s="167"/>
    </row>
    <row r="171" spans="1:11" ht="15.6">
      <c r="A171" s="425">
        <v>46090</v>
      </c>
      <c r="B171" s="211" t="s">
        <v>448</v>
      </c>
      <c r="C171" s="75" t="s">
        <v>104</v>
      </c>
      <c r="D171" s="75" t="s">
        <v>98</v>
      </c>
      <c r="E171" s="209"/>
      <c r="F171" s="94">
        <v>68800</v>
      </c>
      <c r="G171" s="207"/>
      <c r="H171" s="209">
        <f t="shared" si="3"/>
        <v>4000</v>
      </c>
      <c r="I171" s="75" t="s">
        <v>168</v>
      </c>
      <c r="J171" s="75" t="s">
        <v>514</v>
      </c>
      <c r="K171" s="167"/>
    </row>
    <row r="172" spans="1:11" ht="15.6">
      <c r="A172" s="264">
        <v>46090</v>
      </c>
      <c r="B172" s="211" t="s">
        <v>449</v>
      </c>
      <c r="C172" s="354" t="s">
        <v>337</v>
      </c>
      <c r="D172" s="75" t="s">
        <v>98</v>
      </c>
      <c r="E172" s="209"/>
      <c r="F172" s="210">
        <v>1000</v>
      </c>
      <c r="G172" s="207"/>
      <c r="H172" s="209">
        <f t="shared" si="3"/>
        <v>3000</v>
      </c>
      <c r="I172" s="75" t="s">
        <v>168</v>
      </c>
      <c r="J172" s="75" t="s">
        <v>510</v>
      </c>
      <c r="K172" s="167"/>
    </row>
    <row r="173" spans="1:11" ht="15.6">
      <c r="A173" s="264">
        <v>46090</v>
      </c>
      <c r="B173" s="211" t="s">
        <v>450</v>
      </c>
      <c r="C173" s="354" t="s">
        <v>337</v>
      </c>
      <c r="D173" s="75" t="s">
        <v>98</v>
      </c>
      <c r="E173" s="209"/>
      <c r="F173" s="210">
        <v>1000</v>
      </c>
      <c r="G173" s="207"/>
      <c r="H173" s="209">
        <f t="shared" si="3"/>
        <v>2000</v>
      </c>
      <c r="I173" s="75" t="s">
        <v>168</v>
      </c>
      <c r="J173" s="75" t="s">
        <v>510</v>
      </c>
      <c r="K173" s="167"/>
    </row>
    <row r="174" spans="1:11" ht="15.6">
      <c r="A174" s="264">
        <v>46090</v>
      </c>
      <c r="B174" s="211" t="s">
        <v>451</v>
      </c>
      <c r="C174" s="354" t="s">
        <v>337</v>
      </c>
      <c r="D174" s="75" t="s">
        <v>98</v>
      </c>
      <c r="E174" s="209"/>
      <c r="F174" s="210">
        <v>1000</v>
      </c>
      <c r="G174" s="207"/>
      <c r="H174" s="209">
        <f t="shared" si="3"/>
        <v>1000</v>
      </c>
      <c r="I174" s="75" t="s">
        <v>168</v>
      </c>
      <c r="J174" s="75" t="s">
        <v>510</v>
      </c>
      <c r="K174" s="167"/>
    </row>
    <row r="175" spans="1:11" ht="15.6">
      <c r="A175" s="264">
        <v>46090</v>
      </c>
      <c r="B175" s="211" t="s">
        <v>452</v>
      </c>
      <c r="C175" s="75" t="s">
        <v>110</v>
      </c>
      <c r="D175" s="211" t="s">
        <v>99</v>
      </c>
      <c r="E175" s="209">
        <v>5000</v>
      </c>
      <c r="F175" s="210"/>
      <c r="G175" s="207"/>
      <c r="H175" s="209">
        <f t="shared" si="3"/>
        <v>6000</v>
      </c>
      <c r="I175" s="75" t="s">
        <v>168</v>
      </c>
      <c r="J175" s="75" t="s">
        <v>515</v>
      </c>
      <c r="K175" s="167"/>
    </row>
    <row r="176" spans="1:11" ht="15.6">
      <c r="A176" s="264">
        <v>46090</v>
      </c>
      <c r="B176" s="211" t="s">
        <v>452</v>
      </c>
      <c r="C176" s="75" t="s">
        <v>110</v>
      </c>
      <c r="D176" s="211" t="s">
        <v>99</v>
      </c>
      <c r="E176" s="209"/>
      <c r="F176" s="210">
        <v>5000</v>
      </c>
      <c r="G176" s="207"/>
      <c r="H176" s="209">
        <f t="shared" si="3"/>
        <v>1000</v>
      </c>
      <c r="I176" s="75" t="s">
        <v>168</v>
      </c>
      <c r="J176" s="75" t="s">
        <v>515</v>
      </c>
      <c r="K176" s="167"/>
    </row>
    <row r="177" spans="1:11" ht="15.6">
      <c r="A177" s="425">
        <v>46092</v>
      </c>
      <c r="B177" s="75" t="s">
        <v>453</v>
      </c>
      <c r="C177" s="75" t="s">
        <v>130</v>
      </c>
      <c r="D177" s="75" t="s">
        <v>98</v>
      </c>
      <c r="E177" s="94">
        <v>80000</v>
      </c>
      <c r="F177" s="210"/>
      <c r="G177" s="207"/>
      <c r="H177" s="209">
        <f t="shared" si="3"/>
        <v>81000</v>
      </c>
      <c r="I177" s="75" t="s">
        <v>168</v>
      </c>
      <c r="J177" s="403" t="s">
        <v>516</v>
      </c>
      <c r="K177" s="167"/>
    </row>
    <row r="178" spans="1:11" ht="15.6">
      <c r="A178" s="425">
        <v>46092</v>
      </c>
      <c r="B178" s="75" t="s">
        <v>453</v>
      </c>
      <c r="C178" s="75" t="s">
        <v>130</v>
      </c>
      <c r="D178" s="75" t="s">
        <v>98</v>
      </c>
      <c r="E178" s="209"/>
      <c r="F178" s="94">
        <v>80000</v>
      </c>
      <c r="G178" s="207"/>
      <c r="H178" s="209">
        <f t="shared" si="3"/>
        <v>1000</v>
      </c>
      <c r="I178" s="75" t="s">
        <v>168</v>
      </c>
      <c r="J178" s="403" t="s">
        <v>516</v>
      </c>
      <c r="K178" s="167"/>
    </row>
    <row r="179" spans="1:11" ht="15.6">
      <c r="A179" s="264">
        <v>46093</v>
      </c>
      <c r="B179" s="211" t="s">
        <v>441</v>
      </c>
      <c r="C179" s="354" t="s">
        <v>337</v>
      </c>
      <c r="D179" s="75" t="s">
        <v>98</v>
      </c>
      <c r="E179" s="209"/>
      <c r="F179" s="210">
        <v>1000</v>
      </c>
      <c r="G179" s="207"/>
      <c r="H179" s="209">
        <f t="shared" si="3"/>
        <v>0</v>
      </c>
      <c r="I179" s="75" t="s">
        <v>168</v>
      </c>
      <c r="J179" s="75" t="s">
        <v>510</v>
      </c>
      <c r="K179" s="167"/>
    </row>
    <row r="180" spans="1:11" ht="15.6">
      <c r="A180" s="264">
        <v>46093</v>
      </c>
      <c r="B180" s="211" t="s">
        <v>327</v>
      </c>
      <c r="C180" s="354" t="s">
        <v>337</v>
      </c>
      <c r="D180" s="75" t="s">
        <v>98</v>
      </c>
      <c r="E180" s="209"/>
      <c r="F180" s="210">
        <v>1000</v>
      </c>
      <c r="G180" s="207"/>
      <c r="H180" s="209">
        <f t="shared" si="3"/>
        <v>-1000</v>
      </c>
      <c r="I180" s="75" t="s">
        <v>168</v>
      </c>
      <c r="J180" s="75" t="s">
        <v>510</v>
      </c>
      <c r="K180" s="167"/>
    </row>
    <row r="181" spans="1:11" ht="15.6">
      <c r="A181" s="264">
        <v>46093</v>
      </c>
      <c r="B181" s="211" t="s">
        <v>454</v>
      </c>
      <c r="C181" s="354" t="s">
        <v>337</v>
      </c>
      <c r="D181" s="75" t="s">
        <v>98</v>
      </c>
      <c r="E181" s="209"/>
      <c r="F181" s="210">
        <v>1000</v>
      </c>
      <c r="G181" s="207"/>
      <c r="H181" s="209">
        <f t="shared" si="3"/>
        <v>-2000</v>
      </c>
      <c r="I181" s="75" t="s">
        <v>168</v>
      </c>
      <c r="J181" s="75" t="s">
        <v>510</v>
      </c>
      <c r="K181" s="167"/>
    </row>
    <row r="182" spans="1:11" ht="15.6">
      <c r="A182" s="264">
        <v>46093</v>
      </c>
      <c r="B182" s="211" t="s">
        <v>197</v>
      </c>
      <c r="C182" s="354" t="s">
        <v>337</v>
      </c>
      <c r="D182" s="75" t="s">
        <v>98</v>
      </c>
      <c r="E182" s="209"/>
      <c r="F182" s="210">
        <v>1000</v>
      </c>
      <c r="G182" s="207"/>
      <c r="H182" s="209">
        <f t="shared" si="3"/>
        <v>-3000</v>
      </c>
      <c r="I182" s="75" t="s">
        <v>168</v>
      </c>
      <c r="J182" s="75" t="s">
        <v>510</v>
      </c>
      <c r="K182" s="167"/>
    </row>
    <row r="183" spans="1:11" ht="15.6">
      <c r="A183" s="425">
        <v>46098</v>
      </c>
      <c r="B183" s="75" t="s">
        <v>455</v>
      </c>
      <c r="C183" s="75" t="s">
        <v>130</v>
      </c>
      <c r="D183" s="75" t="s">
        <v>98</v>
      </c>
      <c r="E183" s="94">
        <v>40000</v>
      </c>
      <c r="F183" s="210"/>
      <c r="G183" s="207"/>
      <c r="H183" s="209">
        <f t="shared" si="3"/>
        <v>37000</v>
      </c>
      <c r="I183" s="75" t="s">
        <v>168</v>
      </c>
      <c r="J183" s="403" t="s">
        <v>517</v>
      </c>
      <c r="K183" s="167"/>
    </row>
    <row r="184" spans="1:11" ht="15.6">
      <c r="A184" s="212">
        <v>46098</v>
      </c>
      <c r="B184" s="75" t="s">
        <v>456</v>
      </c>
      <c r="C184" s="75" t="s">
        <v>103</v>
      </c>
      <c r="D184" s="75" t="s">
        <v>98</v>
      </c>
      <c r="E184" s="94">
        <v>40613</v>
      </c>
      <c r="F184" s="210"/>
      <c r="G184" s="207"/>
      <c r="H184" s="209">
        <f t="shared" si="3"/>
        <v>77613</v>
      </c>
      <c r="I184" s="75" t="s">
        <v>168</v>
      </c>
      <c r="J184" s="403" t="s">
        <v>518</v>
      </c>
      <c r="K184" s="167"/>
    </row>
    <row r="185" spans="1:11" ht="15.6">
      <c r="A185" s="425">
        <v>46098</v>
      </c>
      <c r="B185" s="75" t="s">
        <v>455</v>
      </c>
      <c r="C185" s="75" t="s">
        <v>130</v>
      </c>
      <c r="D185" s="75" t="s">
        <v>98</v>
      </c>
      <c r="E185" s="209"/>
      <c r="F185" s="94">
        <v>40000</v>
      </c>
      <c r="G185" s="207"/>
      <c r="H185" s="209">
        <f t="shared" si="3"/>
        <v>37613</v>
      </c>
      <c r="I185" s="75" t="s">
        <v>168</v>
      </c>
      <c r="J185" s="403" t="s">
        <v>517</v>
      </c>
      <c r="K185" s="167"/>
    </row>
    <row r="186" spans="1:11" ht="15.6">
      <c r="A186" s="212">
        <v>46098</v>
      </c>
      <c r="B186" s="75" t="s">
        <v>456</v>
      </c>
      <c r="C186" s="75" t="s">
        <v>103</v>
      </c>
      <c r="D186" s="75" t="s">
        <v>98</v>
      </c>
      <c r="E186" s="209"/>
      <c r="F186" s="94">
        <v>40613</v>
      </c>
      <c r="G186" s="207"/>
      <c r="H186" s="209">
        <f t="shared" si="3"/>
        <v>-3000</v>
      </c>
      <c r="I186" s="75" t="s">
        <v>168</v>
      </c>
      <c r="J186" s="403" t="s">
        <v>518</v>
      </c>
      <c r="K186" s="167"/>
    </row>
    <row r="187" spans="1:11" ht="15.6">
      <c r="A187" s="264">
        <v>46098</v>
      </c>
      <c r="B187" s="211" t="s">
        <v>457</v>
      </c>
      <c r="C187" s="354" t="s">
        <v>337</v>
      </c>
      <c r="D187" s="75" t="s">
        <v>98</v>
      </c>
      <c r="E187" s="209"/>
      <c r="F187" s="210">
        <v>1000</v>
      </c>
      <c r="G187" s="207"/>
      <c r="H187" s="209">
        <f t="shared" si="3"/>
        <v>-4000</v>
      </c>
      <c r="I187" s="75" t="s">
        <v>168</v>
      </c>
      <c r="J187" s="75" t="s">
        <v>510</v>
      </c>
      <c r="K187" s="167"/>
    </row>
    <row r="188" spans="1:11" ht="15.6">
      <c r="A188" s="264">
        <v>46098</v>
      </c>
      <c r="B188" s="211" t="s">
        <v>458</v>
      </c>
      <c r="C188" s="354" t="s">
        <v>337</v>
      </c>
      <c r="D188" s="75" t="s">
        <v>98</v>
      </c>
      <c r="E188" s="209"/>
      <c r="F188" s="210">
        <v>1000</v>
      </c>
      <c r="G188" s="207"/>
      <c r="H188" s="209">
        <f t="shared" si="3"/>
        <v>-5000</v>
      </c>
      <c r="I188" s="75" t="s">
        <v>168</v>
      </c>
      <c r="J188" s="75" t="s">
        <v>510</v>
      </c>
      <c r="K188" s="167"/>
    </row>
    <row r="189" spans="1:11" ht="15.6">
      <c r="A189" s="264">
        <v>46098</v>
      </c>
      <c r="B189" s="75" t="s">
        <v>459</v>
      </c>
      <c r="C189" s="354" t="s">
        <v>337</v>
      </c>
      <c r="D189" s="75" t="s">
        <v>98</v>
      </c>
      <c r="E189" s="209"/>
      <c r="F189" s="210">
        <v>1000</v>
      </c>
      <c r="G189" s="207"/>
      <c r="H189" s="209">
        <f t="shared" si="3"/>
        <v>-6000</v>
      </c>
      <c r="I189" s="75" t="s">
        <v>168</v>
      </c>
      <c r="J189" s="75" t="s">
        <v>510</v>
      </c>
      <c r="K189" s="167"/>
    </row>
    <row r="190" spans="1:11" ht="15.6">
      <c r="A190" s="264">
        <v>46098</v>
      </c>
      <c r="B190" s="75" t="s">
        <v>460</v>
      </c>
      <c r="C190" s="354" t="s">
        <v>337</v>
      </c>
      <c r="D190" s="75" t="s">
        <v>98</v>
      </c>
      <c r="E190" s="209"/>
      <c r="F190" s="210">
        <v>1000</v>
      </c>
      <c r="G190" s="207"/>
      <c r="H190" s="209">
        <f t="shared" si="3"/>
        <v>-7000</v>
      </c>
      <c r="I190" s="75" t="s">
        <v>168</v>
      </c>
      <c r="J190" s="75" t="s">
        <v>510</v>
      </c>
      <c r="K190" s="167"/>
    </row>
    <row r="191" spans="1:11" ht="15.6">
      <c r="A191" s="212">
        <v>46099</v>
      </c>
      <c r="B191" s="75" t="s">
        <v>461</v>
      </c>
      <c r="C191" s="75" t="s">
        <v>242</v>
      </c>
      <c r="D191" s="75" t="s">
        <v>98</v>
      </c>
      <c r="E191" s="94">
        <v>45050</v>
      </c>
      <c r="F191" s="210"/>
      <c r="G191" s="207"/>
      <c r="H191" s="209">
        <f t="shared" si="3"/>
        <v>38050</v>
      </c>
      <c r="I191" s="75" t="s">
        <v>168</v>
      </c>
      <c r="J191" s="403" t="s">
        <v>519</v>
      </c>
      <c r="K191" s="167"/>
    </row>
    <row r="192" spans="1:11" ht="15.6">
      <c r="A192" s="212">
        <v>46099</v>
      </c>
      <c r="B192" s="75" t="s">
        <v>462</v>
      </c>
      <c r="C192" s="75" t="s">
        <v>463</v>
      </c>
      <c r="D192" s="75" t="s">
        <v>98</v>
      </c>
      <c r="E192" s="94">
        <v>3150</v>
      </c>
      <c r="F192" s="210"/>
      <c r="G192" s="207"/>
      <c r="H192" s="209">
        <f t="shared" si="3"/>
        <v>41200</v>
      </c>
      <c r="I192" s="75" t="s">
        <v>168</v>
      </c>
      <c r="J192" s="403" t="s">
        <v>520</v>
      </c>
      <c r="K192" s="167"/>
    </row>
    <row r="193" spans="1:11" ht="15.6">
      <c r="A193" s="212">
        <v>46099</v>
      </c>
      <c r="B193" s="75" t="s">
        <v>464</v>
      </c>
      <c r="C193" s="75" t="s">
        <v>463</v>
      </c>
      <c r="D193" s="75" t="s">
        <v>98</v>
      </c>
      <c r="E193" s="94">
        <v>7710</v>
      </c>
      <c r="F193" s="210"/>
      <c r="G193" s="207"/>
      <c r="H193" s="209">
        <f t="shared" si="3"/>
        <v>48910</v>
      </c>
      <c r="I193" s="75" t="s">
        <v>168</v>
      </c>
      <c r="J193" s="403" t="s">
        <v>521</v>
      </c>
      <c r="K193" s="167"/>
    </row>
    <row r="194" spans="1:11" ht="15.6">
      <c r="A194" s="212">
        <v>46099</v>
      </c>
      <c r="B194" s="75" t="s">
        <v>461</v>
      </c>
      <c r="C194" s="75" t="s">
        <v>242</v>
      </c>
      <c r="D194" s="75" t="s">
        <v>98</v>
      </c>
      <c r="E194" s="209"/>
      <c r="F194" s="94">
        <v>45050</v>
      </c>
      <c r="G194" s="207"/>
      <c r="H194" s="209">
        <f t="shared" si="3"/>
        <v>3860</v>
      </c>
      <c r="I194" s="75" t="s">
        <v>168</v>
      </c>
      <c r="J194" s="403" t="s">
        <v>519</v>
      </c>
      <c r="K194" s="167"/>
    </row>
    <row r="195" spans="1:11" ht="15.6">
      <c r="A195" s="212">
        <v>46099</v>
      </c>
      <c r="B195" s="75" t="s">
        <v>462</v>
      </c>
      <c r="C195" s="75" t="s">
        <v>463</v>
      </c>
      <c r="D195" s="75" t="s">
        <v>98</v>
      </c>
      <c r="E195" s="209"/>
      <c r="F195" s="94">
        <v>3150</v>
      </c>
      <c r="G195" s="207"/>
      <c r="H195" s="209">
        <f t="shared" si="3"/>
        <v>710</v>
      </c>
      <c r="I195" s="75" t="s">
        <v>168</v>
      </c>
      <c r="J195" s="403" t="s">
        <v>520</v>
      </c>
      <c r="K195" s="167"/>
    </row>
    <row r="196" spans="1:11" ht="15.6">
      <c r="A196" s="212">
        <v>46099</v>
      </c>
      <c r="B196" s="75" t="s">
        <v>464</v>
      </c>
      <c r="C196" s="75" t="s">
        <v>463</v>
      </c>
      <c r="D196" s="75" t="s">
        <v>98</v>
      </c>
      <c r="E196" s="209"/>
      <c r="F196" s="94">
        <v>7710</v>
      </c>
      <c r="G196" s="207"/>
      <c r="H196" s="209">
        <f t="shared" si="3"/>
        <v>-7000</v>
      </c>
      <c r="I196" s="75" t="s">
        <v>168</v>
      </c>
      <c r="J196" s="403" t="s">
        <v>521</v>
      </c>
      <c r="K196" s="167"/>
    </row>
    <row r="197" spans="1:11" ht="15.6">
      <c r="A197" s="264">
        <v>46099</v>
      </c>
      <c r="B197" s="211" t="s">
        <v>465</v>
      </c>
      <c r="C197" s="354" t="s">
        <v>337</v>
      </c>
      <c r="D197" s="75" t="s">
        <v>98</v>
      </c>
      <c r="E197" s="209"/>
      <c r="F197" s="210">
        <v>500</v>
      </c>
      <c r="G197" s="207"/>
      <c r="H197" s="209">
        <f t="shared" si="3"/>
        <v>-7500</v>
      </c>
      <c r="I197" s="75" t="s">
        <v>168</v>
      </c>
      <c r="J197" s="75" t="s">
        <v>510</v>
      </c>
      <c r="K197" s="167"/>
    </row>
    <row r="198" spans="1:11" ht="15.6">
      <c r="A198" s="264">
        <v>46099</v>
      </c>
      <c r="B198" s="211" t="s">
        <v>466</v>
      </c>
      <c r="C198" s="354" t="s">
        <v>337</v>
      </c>
      <c r="D198" s="75" t="s">
        <v>98</v>
      </c>
      <c r="E198" s="209"/>
      <c r="F198" s="210">
        <v>500</v>
      </c>
      <c r="G198" s="207"/>
      <c r="H198" s="209">
        <f t="shared" si="3"/>
        <v>-8000</v>
      </c>
      <c r="I198" s="75" t="s">
        <v>168</v>
      </c>
      <c r="J198" s="75" t="s">
        <v>510</v>
      </c>
      <c r="K198" s="167"/>
    </row>
    <row r="199" spans="1:11" ht="15.6">
      <c r="A199" s="264">
        <v>46099</v>
      </c>
      <c r="B199" s="211" t="s">
        <v>467</v>
      </c>
      <c r="C199" s="354" t="s">
        <v>337</v>
      </c>
      <c r="D199" s="75" t="s">
        <v>98</v>
      </c>
      <c r="E199" s="209"/>
      <c r="F199" s="210">
        <v>1000</v>
      </c>
      <c r="G199" s="207"/>
      <c r="H199" s="209">
        <f t="shared" si="3"/>
        <v>-9000</v>
      </c>
      <c r="I199" s="75" t="s">
        <v>168</v>
      </c>
      <c r="J199" s="75" t="s">
        <v>510</v>
      </c>
      <c r="K199" s="167"/>
    </row>
    <row r="200" spans="1:11" ht="15.6">
      <c r="A200" s="264">
        <v>46099</v>
      </c>
      <c r="B200" s="211" t="s">
        <v>468</v>
      </c>
      <c r="C200" s="354" t="s">
        <v>337</v>
      </c>
      <c r="D200" s="75" t="s">
        <v>98</v>
      </c>
      <c r="E200" s="209"/>
      <c r="F200" s="210">
        <v>1000</v>
      </c>
      <c r="G200" s="207"/>
      <c r="H200" s="209">
        <f t="shared" si="3"/>
        <v>-10000</v>
      </c>
      <c r="I200" s="75" t="s">
        <v>168</v>
      </c>
      <c r="J200" s="75" t="s">
        <v>510</v>
      </c>
      <c r="K200" s="167"/>
    </row>
    <row r="201" spans="1:11" ht="15.6">
      <c r="A201" s="264">
        <v>46099</v>
      </c>
      <c r="B201" s="211" t="s">
        <v>469</v>
      </c>
      <c r="C201" s="354" t="s">
        <v>337</v>
      </c>
      <c r="D201" s="75" t="s">
        <v>98</v>
      </c>
      <c r="E201" s="209"/>
      <c r="F201" s="210">
        <v>1000</v>
      </c>
      <c r="G201" s="207"/>
      <c r="H201" s="209">
        <f t="shared" si="3"/>
        <v>-11000</v>
      </c>
      <c r="I201" s="75" t="s">
        <v>168</v>
      </c>
      <c r="J201" s="75" t="s">
        <v>510</v>
      </c>
      <c r="K201" s="167"/>
    </row>
    <row r="202" spans="1:11" ht="15.6">
      <c r="A202" s="264">
        <v>46099</v>
      </c>
      <c r="B202" s="211" t="s">
        <v>470</v>
      </c>
      <c r="C202" s="354" t="s">
        <v>337</v>
      </c>
      <c r="D202" s="75" t="s">
        <v>98</v>
      </c>
      <c r="E202" s="209"/>
      <c r="F202" s="210">
        <v>1000</v>
      </c>
      <c r="G202" s="207"/>
      <c r="H202" s="209">
        <f t="shared" si="3"/>
        <v>-12000</v>
      </c>
      <c r="I202" s="75" t="s">
        <v>168</v>
      </c>
      <c r="J202" s="75" t="s">
        <v>510</v>
      </c>
      <c r="K202" s="167"/>
    </row>
    <row r="203" spans="1:11" ht="15.6">
      <c r="A203" s="264">
        <v>46099</v>
      </c>
      <c r="B203" s="211" t="s">
        <v>471</v>
      </c>
      <c r="C203" s="75" t="s">
        <v>110</v>
      </c>
      <c r="D203" s="211" t="s">
        <v>99</v>
      </c>
      <c r="E203" s="209">
        <v>5000</v>
      </c>
      <c r="F203" s="210"/>
      <c r="G203" s="207"/>
      <c r="H203" s="209">
        <f t="shared" si="3"/>
        <v>-7000</v>
      </c>
      <c r="I203" s="75" t="s">
        <v>168</v>
      </c>
      <c r="J203" s="75" t="s">
        <v>522</v>
      </c>
      <c r="K203" s="167"/>
    </row>
    <row r="204" spans="1:11" ht="15.6">
      <c r="A204" s="264">
        <v>46099</v>
      </c>
      <c r="B204" s="211" t="s">
        <v>471</v>
      </c>
      <c r="C204" s="75" t="s">
        <v>110</v>
      </c>
      <c r="D204" s="211" t="s">
        <v>99</v>
      </c>
      <c r="E204" s="209"/>
      <c r="F204" s="210">
        <v>5000</v>
      </c>
      <c r="G204" s="207"/>
      <c r="H204" s="209">
        <f t="shared" si="3"/>
        <v>-12000</v>
      </c>
      <c r="I204" s="75" t="s">
        <v>168</v>
      </c>
      <c r="J204" s="75" t="s">
        <v>522</v>
      </c>
      <c r="K204" s="167"/>
    </row>
    <row r="205" spans="1:11" ht="15.6">
      <c r="A205" s="264">
        <v>46099</v>
      </c>
      <c r="B205" s="211" t="s">
        <v>472</v>
      </c>
      <c r="C205" s="354" t="s">
        <v>337</v>
      </c>
      <c r="D205" s="75" t="s">
        <v>98</v>
      </c>
      <c r="E205" s="209"/>
      <c r="F205" s="210">
        <v>1000</v>
      </c>
      <c r="G205" s="207"/>
      <c r="H205" s="209">
        <f t="shared" si="3"/>
        <v>-13000</v>
      </c>
      <c r="I205" s="75" t="s">
        <v>168</v>
      </c>
      <c r="J205" s="75" t="s">
        <v>510</v>
      </c>
      <c r="K205" s="167"/>
    </row>
    <row r="206" spans="1:11" ht="15.6">
      <c r="A206" s="264">
        <v>46099</v>
      </c>
      <c r="B206" s="211" t="s">
        <v>335</v>
      </c>
      <c r="C206" s="354" t="s">
        <v>337</v>
      </c>
      <c r="D206" s="75" t="s">
        <v>98</v>
      </c>
      <c r="E206" s="209"/>
      <c r="F206" s="210">
        <v>1000</v>
      </c>
      <c r="G206" s="207"/>
      <c r="H206" s="209">
        <f t="shared" si="3"/>
        <v>-14000</v>
      </c>
      <c r="I206" s="75" t="s">
        <v>168</v>
      </c>
      <c r="J206" s="75" t="s">
        <v>510</v>
      </c>
      <c r="K206" s="167"/>
    </row>
    <row r="207" spans="1:11" ht="15.6">
      <c r="A207" s="264">
        <v>46100</v>
      </c>
      <c r="B207" s="75" t="s">
        <v>473</v>
      </c>
      <c r="C207" s="354" t="s">
        <v>337</v>
      </c>
      <c r="D207" s="75" t="s">
        <v>98</v>
      </c>
      <c r="E207" s="209"/>
      <c r="F207" s="210">
        <v>1000</v>
      </c>
      <c r="G207" s="207"/>
      <c r="H207" s="209">
        <f t="shared" si="3"/>
        <v>-15000</v>
      </c>
      <c r="I207" s="75" t="s">
        <v>168</v>
      </c>
      <c r="J207" s="75" t="s">
        <v>510</v>
      </c>
      <c r="K207" s="167"/>
    </row>
    <row r="208" spans="1:11" ht="15.6">
      <c r="A208" s="264">
        <v>46100</v>
      </c>
      <c r="B208" s="75" t="s">
        <v>460</v>
      </c>
      <c r="C208" s="354" t="s">
        <v>337</v>
      </c>
      <c r="D208" s="75" t="s">
        <v>98</v>
      </c>
      <c r="E208" s="209"/>
      <c r="F208" s="210">
        <v>1000</v>
      </c>
      <c r="G208" s="207"/>
      <c r="H208" s="209">
        <f t="shared" si="3"/>
        <v>-16000</v>
      </c>
      <c r="I208" s="75" t="s">
        <v>168</v>
      </c>
      <c r="J208" s="75" t="s">
        <v>510</v>
      </c>
      <c r="K208" s="167"/>
    </row>
    <row r="209" spans="1:11" ht="15.6">
      <c r="A209" s="264">
        <v>46101</v>
      </c>
      <c r="B209" s="211" t="s">
        <v>474</v>
      </c>
      <c r="C209" s="354" t="s">
        <v>337</v>
      </c>
      <c r="D209" s="75" t="s">
        <v>98</v>
      </c>
      <c r="E209" s="209"/>
      <c r="F209" s="210">
        <v>500</v>
      </c>
      <c r="G209" s="207"/>
      <c r="H209" s="209">
        <f t="shared" si="3"/>
        <v>-16500</v>
      </c>
      <c r="I209" s="75" t="s">
        <v>168</v>
      </c>
      <c r="J209" s="75" t="s">
        <v>510</v>
      </c>
      <c r="K209" s="167"/>
    </row>
    <row r="210" spans="1:11" ht="15.6">
      <c r="A210" s="264">
        <v>46101</v>
      </c>
      <c r="B210" s="211" t="s">
        <v>466</v>
      </c>
      <c r="C210" s="354" t="s">
        <v>337</v>
      </c>
      <c r="D210" s="75" t="s">
        <v>98</v>
      </c>
      <c r="E210" s="209"/>
      <c r="F210" s="210">
        <v>500</v>
      </c>
      <c r="G210" s="207"/>
      <c r="H210" s="209">
        <f t="shared" si="3"/>
        <v>-17000</v>
      </c>
      <c r="I210" s="75" t="s">
        <v>168</v>
      </c>
      <c r="J210" s="75" t="s">
        <v>510</v>
      </c>
      <c r="K210" s="167"/>
    </row>
    <row r="211" spans="1:11" ht="15.6">
      <c r="A211" s="264">
        <v>46101</v>
      </c>
      <c r="B211" s="75" t="s">
        <v>442</v>
      </c>
      <c r="C211" s="354" t="s">
        <v>102</v>
      </c>
      <c r="D211" s="75" t="s">
        <v>98</v>
      </c>
      <c r="E211" s="209">
        <v>30000</v>
      </c>
      <c r="F211" s="210"/>
      <c r="G211" s="207"/>
      <c r="H211" s="209">
        <f t="shared" si="3"/>
        <v>13000</v>
      </c>
      <c r="I211" s="75" t="s">
        <v>168</v>
      </c>
      <c r="J211" s="75" t="s">
        <v>523</v>
      </c>
      <c r="K211" s="167"/>
    </row>
    <row r="212" spans="1:11" ht="15.6">
      <c r="A212" s="264">
        <v>46101</v>
      </c>
      <c r="B212" s="211" t="s">
        <v>465</v>
      </c>
      <c r="C212" s="354" t="s">
        <v>337</v>
      </c>
      <c r="D212" s="75" t="s">
        <v>98</v>
      </c>
      <c r="E212" s="209"/>
      <c r="F212" s="210">
        <v>500</v>
      </c>
      <c r="G212" s="207"/>
      <c r="H212" s="209">
        <f t="shared" si="3"/>
        <v>12500</v>
      </c>
      <c r="I212" s="75" t="s">
        <v>168</v>
      </c>
      <c r="J212" s="75" t="s">
        <v>510</v>
      </c>
      <c r="K212" s="167"/>
    </row>
    <row r="213" spans="1:11" ht="15.6">
      <c r="A213" s="264">
        <v>46101</v>
      </c>
      <c r="B213" s="211" t="s">
        <v>466</v>
      </c>
      <c r="C213" s="354" t="s">
        <v>337</v>
      </c>
      <c r="D213" s="75" t="s">
        <v>98</v>
      </c>
      <c r="E213" s="209"/>
      <c r="F213" s="210">
        <v>500</v>
      </c>
      <c r="G213" s="207"/>
      <c r="H213" s="209">
        <f t="shared" si="3"/>
        <v>12000</v>
      </c>
      <c r="I213" s="75" t="s">
        <v>168</v>
      </c>
      <c r="J213" s="75" t="s">
        <v>510</v>
      </c>
      <c r="K213" s="167"/>
    </row>
    <row r="214" spans="1:11" ht="15.6">
      <c r="A214" s="212">
        <v>46104</v>
      </c>
      <c r="B214" s="75" t="s">
        <v>475</v>
      </c>
      <c r="C214" s="75" t="s">
        <v>463</v>
      </c>
      <c r="D214" s="75" t="s">
        <v>98</v>
      </c>
      <c r="E214" s="94">
        <v>2520</v>
      </c>
      <c r="F214" s="210"/>
      <c r="G214" s="207"/>
      <c r="H214" s="209">
        <f t="shared" si="3"/>
        <v>14520</v>
      </c>
      <c r="I214" s="75" t="s">
        <v>168</v>
      </c>
      <c r="J214" s="403" t="s">
        <v>524</v>
      </c>
      <c r="K214" s="167"/>
    </row>
    <row r="215" spans="1:11" ht="15.6">
      <c r="A215" s="212">
        <v>46104</v>
      </c>
      <c r="B215" s="75" t="s">
        <v>475</v>
      </c>
      <c r="C215" s="75" t="s">
        <v>463</v>
      </c>
      <c r="D215" s="75" t="s">
        <v>98</v>
      </c>
      <c r="E215" s="209"/>
      <c r="F215" s="94">
        <v>2520</v>
      </c>
      <c r="G215" s="207"/>
      <c r="H215" s="209">
        <f t="shared" si="3"/>
        <v>12000</v>
      </c>
      <c r="I215" s="75" t="s">
        <v>168</v>
      </c>
      <c r="J215" s="403" t="s">
        <v>524</v>
      </c>
      <c r="K215" s="167"/>
    </row>
    <row r="216" spans="1:11" ht="15.6">
      <c r="A216" s="264">
        <v>46104</v>
      </c>
      <c r="B216" s="211" t="s">
        <v>476</v>
      </c>
      <c r="C216" s="354" t="s">
        <v>337</v>
      </c>
      <c r="D216" s="75" t="s">
        <v>98</v>
      </c>
      <c r="E216" s="209"/>
      <c r="F216" s="210">
        <v>1000</v>
      </c>
      <c r="G216" s="207"/>
      <c r="H216" s="209">
        <f t="shared" si="3"/>
        <v>11000</v>
      </c>
      <c r="I216" s="75" t="s">
        <v>168</v>
      </c>
      <c r="J216" s="75" t="s">
        <v>510</v>
      </c>
      <c r="K216" s="167"/>
    </row>
    <row r="217" spans="1:11" ht="15.6">
      <c r="A217" s="264">
        <v>46104</v>
      </c>
      <c r="B217" s="211" t="s">
        <v>470</v>
      </c>
      <c r="C217" s="354" t="s">
        <v>337</v>
      </c>
      <c r="D217" s="75" t="s">
        <v>98</v>
      </c>
      <c r="E217" s="209"/>
      <c r="F217" s="210">
        <v>1000</v>
      </c>
      <c r="G217" s="207"/>
      <c r="H217" s="209">
        <f t="shared" si="3"/>
        <v>10000</v>
      </c>
      <c r="I217" s="75" t="s">
        <v>168</v>
      </c>
      <c r="J217" s="75" t="s">
        <v>510</v>
      </c>
      <c r="K217" s="167"/>
    </row>
    <row r="218" spans="1:11" ht="15.6">
      <c r="A218" s="264">
        <v>46105</v>
      </c>
      <c r="B218" s="211" t="s">
        <v>469</v>
      </c>
      <c r="C218" s="354" t="s">
        <v>337</v>
      </c>
      <c r="D218" s="75" t="s">
        <v>98</v>
      </c>
      <c r="E218" s="209"/>
      <c r="F218" s="210">
        <v>1000</v>
      </c>
      <c r="G218" s="207"/>
      <c r="H218" s="209">
        <f t="shared" si="3"/>
        <v>9000</v>
      </c>
      <c r="I218" s="75" t="s">
        <v>168</v>
      </c>
      <c r="J218" s="75" t="s">
        <v>510</v>
      </c>
      <c r="K218" s="167"/>
    </row>
    <row r="219" spans="1:11" ht="15.6">
      <c r="A219" s="264">
        <v>46105</v>
      </c>
      <c r="B219" s="211" t="s">
        <v>477</v>
      </c>
      <c r="C219" s="354" t="s">
        <v>337</v>
      </c>
      <c r="D219" s="75" t="s">
        <v>98</v>
      </c>
      <c r="E219" s="209"/>
      <c r="F219" s="210">
        <v>500</v>
      </c>
      <c r="G219" s="207"/>
      <c r="H219" s="209">
        <f t="shared" si="3"/>
        <v>8500</v>
      </c>
      <c r="I219" s="75" t="s">
        <v>168</v>
      </c>
      <c r="J219" s="75" t="s">
        <v>510</v>
      </c>
      <c r="K219" s="167"/>
    </row>
    <row r="220" spans="1:11" ht="15.6">
      <c r="A220" s="264">
        <v>46105</v>
      </c>
      <c r="B220" s="211" t="s">
        <v>478</v>
      </c>
      <c r="C220" s="354" t="s">
        <v>337</v>
      </c>
      <c r="D220" s="75" t="s">
        <v>98</v>
      </c>
      <c r="E220" s="209"/>
      <c r="F220" s="210">
        <v>1000</v>
      </c>
      <c r="G220" s="207"/>
      <c r="H220" s="209">
        <f t="shared" ref="H220:H282" si="4">+H219+E220-F220</f>
        <v>7500</v>
      </c>
      <c r="I220" s="75" t="s">
        <v>168</v>
      </c>
      <c r="J220" s="75" t="s">
        <v>510</v>
      </c>
      <c r="K220" s="167"/>
    </row>
    <row r="221" spans="1:11" ht="15.6">
      <c r="A221" s="264">
        <v>46105</v>
      </c>
      <c r="B221" s="211" t="s">
        <v>479</v>
      </c>
      <c r="C221" s="75" t="s">
        <v>110</v>
      </c>
      <c r="D221" s="211" t="s">
        <v>99</v>
      </c>
      <c r="E221" s="209">
        <v>5000</v>
      </c>
      <c r="F221" s="210"/>
      <c r="G221" s="207"/>
      <c r="H221" s="209">
        <f t="shared" si="4"/>
        <v>12500</v>
      </c>
      <c r="I221" s="75" t="s">
        <v>168</v>
      </c>
      <c r="J221" s="75" t="s">
        <v>525</v>
      </c>
      <c r="K221" s="167"/>
    </row>
    <row r="222" spans="1:11" ht="15.6">
      <c r="A222" s="264">
        <v>46105</v>
      </c>
      <c r="B222" s="211" t="s">
        <v>479</v>
      </c>
      <c r="C222" s="75" t="s">
        <v>110</v>
      </c>
      <c r="D222" s="211" t="s">
        <v>99</v>
      </c>
      <c r="E222" s="209"/>
      <c r="F222" s="210">
        <v>5000</v>
      </c>
      <c r="G222" s="207"/>
      <c r="H222" s="209">
        <f t="shared" si="4"/>
        <v>7500</v>
      </c>
      <c r="I222" s="75" t="s">
        <v>168</v>
      </c>
      <c r="J222" s="75" t="s">
        <v>525</v>
      </c>
      <c r="K222" s="167"/>
    </row>
    <row r="223" spans="1:11" ht="15.6">
      <c r="A223" s="212">
        <v>46106</v>
      </c>
      <c r="B223" s="75" t="s">
        <v>475</v>
      </c>
      <c r="C223" s="75" t="s">
        <v>463</v>
      </c>
      <c r="D223" s="75" t="s">
        <v>98</v>
      </c>
      <c r="E223" s="94">
        <v>1610</v>
      </c>
      <c r="F223" s="210"/>
      <c r="G223" s="207"/>
      <c r="H223" s="209">
        <f t="shared" si="4"/>
        <v>9110</v>
      </c>
      <c r="I223" s="75" t="s">
        <v>168</v>
      </c>
      <c r="J223" s="403" t="s">
        <v>526</v>
      </c>
      <c r="K223" s="167"/>
    </row>
    <row r="224" spans="1:11" ht="15.6">
      <c r="A224" s="212">
        <v>46106</v>
      </c>
      <c r="B224" s="75" t="s">
        <v>480</v>
      </c>
      <c r="C224" s="124" t="s">
        <v>120</v>
      </c>
      <c r="D224" s="75" t="s">
        <v>98</v>
      </c>
      <c r="E224" s="94">
        <v>10000</v>
      </c>
      <c r="F224" s="210"/>
      <c r="G224" s="207"/>
      <c r="H224" s="209">
        <f t="shared" si="4"/>
        <v>19110</v>
      </c>
      <c r="I224" s="75" t="s">
        <v>168</v>
      </c>
      <c r="J224" s="403" t="s">
        <v>527</v>
      </c>
      <c r="K224" s="167"/>
    </row>
    <row r="225" spans="1:11" ht="15.6">
      <c r="A225" s="212">
        <v>46106</v>
      </c>
      <c r="B225" s="75" t="s">
        <v>475</v>
      </c>
      <c r="C225" s="75" t="s">
        <v>463</v>
      </c>
      <c r="D225" s="75" t="s">
        <v>98</v>
      </c>
      <c r="E225" s="209"/>
      <c r="F225" s="94">
        <v>1610</v>
      </c>
      <c r="G225" s="207"/>
      <c r="H225" s="209">
        <f t="shared" si="4"/>
        <v>17500</v>
      </c>
      <c r="I225" s="75" t="s">
        <v>168</v>
      </c>
      <c r="J225" s="403" t="s">
        <v>526</v>
      </c>
      <c r="K225" s="167"/>
    </row>
    <row r="226" spans="1:11" ht="15.6">
      <c r="A226" s="212">
        <v>46106</v>
      </c>
      <c r="B226" s="75" t="s">
        <v>480</v>
      </c>
      <c r="C226" s="124" t="s">
        <v>120</v>
      </c>
      <c r="D226" s="75" t="s">
        <v>98</v>
      </c>
      <c r="E226" s="209"/>
      <c r="F226" s="94">
        <v>10000</v>
      </c>
      <c r="G226" s="207"/>
      <c r="H226" s="209">
        <f t="shared" si="4"/>
        <v>7500</v>
      </c>
      <c r="I226" s="75" t="s">
        <v>168</v>
      </c>
      <c r="J226" s="403" t="s">
        <v>527</v>
      </c>
      <c r="K226" s="167"/>
    </row>
    <row r="227" spans="1:11" ht="15.6">
      <c r="A227" s="264">
        <v>46106</v>
      </c>
      <c r="B227" s="211" t="s">
        <v>476</v>
      </c>
      <c r="C227" s="354" t="s">
        <v>337</v>
      </c>
      <c r="D227" s="75" t="s">
        <v>98</v>
      </c>
      <c r="E227" s="209"/>
      <c r="F227" s="210">
        <v>1000</v>
      </c>
      <c r="G227" s="207"/>
      <c r="H227" s="209">
        <f t="shared" si="4"/>
        <v>6500</v>
      </c>
      <c r="I227" s="75" t="s">
        <v>168</v>
      </c>
      <c r="J227" s="75" t="s">
        <v>510</v>
      </c>
      <c r="K227" s="167"/>
    </row>
    <row r="228" spans="1:11" ht="15.6">
      <c r="A228" s="264">
        <v>46106</v>
      </c>
      <c r="B228" s="211" t="s">
        <v>470</v>
      </c>
      <c r="C228" s="354" t="s">
        <v>337</v>
      </c>
      <c r="D228" s="75" t="s">
        <v>98</v>
      </c>
      <c r="E228" s="209"/>
      <c r="F228" s="210">
        <v>1000</v>
      </c>
      <c r="G228" s="207"/>
      <c r="H228" s="209">
        <f t="shared" si="4"/>
        <v>5500</v>
      </c>
      <c r="I228" s="75" t="s">
        <v>168</v>
      </c>
      <c r="J228" s="75" t="s">
        <v>510</v>
      </c>
      <c r="K228" s="167"/>
    </row>
    <row r="229" spans="1:11" ht="15.6">
      <c r="A229" s="264">
        <v>46106</v>
      </c>
      <c r="B229" s="211" t="s">
        <v>481</v>
      </c>
      <c r="C229" s="354" t="s">
        <v>337</v>
      </c>
      <c r="D229" s="75" t="s">
        <v>98</v>
      </c>
      <c r="E229" s="209"/>
      <c r="F229" s="210">
        <v>1000</v>
      </c>
      <c r="G229" s="207"/>
      <c r="H229" s="209">
        <f t="shared" si="4"/>
        <v>4500</v>
      </c>
      <c r="I229" s="75" t="s">
        <v>168</v>
      </c>
      <c r="J229" s="75" t="s">
        <v>510</v>
      </c>
      <c r="K229" s="167"/>
    </row>
    <row r="230" spans="1:11" ht="15.6">
      <c r="A230" s="264">
        <v>46106</v>
      </c>
      <c r="B230" s="211" t="s">
        <v>482</v>
      </c>
      <c r="C230" s="354" t="s">
        <v>337</v>
      </c>
      <c r="D230" s="75" t="s">
        <v>98</v>
      </c>
      <c r="E230" s="209"/>
      <c r="F230" s="210">
        <v>1000</v>
      </c>
      <c r="G230" s="207"/>
      <c r="H230" s="209">
        <f t="shared" si="4"/>
        <v>3500</v>
      </c>
      <c r="I230" s="75" t="s">
        <v>168</v>
      </c>
      <c r="J230" s="75" t="s">
        <v>510</v>
      </c>
      <c r="K230" s="167"/>
    </row>
    <row r="231" spans="1:11" ht="15.6">
      <c r="A231" s="212">
        <v>46107</v>
      </c>
      <c r="B231" s="75" t="s">
        <v>483</v>
      </c>
      <c r="C231" s="75" t="s">
        <v>463</v>
      </c>
      <c r="D231" s="75" t="s">
        <v>98</v>
      </c>
      <c r="E231" s="94">
        <v>6160</v>
      </c>
      <c r="F231" s="210"/>
      <c r="G231" s="207"/>
      <c r="H231" s="209">
        <f t="shared" si="4"/>
        <v>9660</v>
      </c>
      <c r="I231" s="75" t="s">
        <v>168</v>
      </c>
      <c r="J231" s="403" t="s">
        <v>528</v>
      </c>
      <c r="K231" s="167"/>
    </row>
    <row r="232" spans="1:11" ht="15.6">
      <c r="A232" s="212">
        <v>46107</v>
      </c>
      <c r="B232" s="75" t="s">
        <v>484</v>
      </c>
      <c r="C232" s="124" t="s">
        <v>120</v>
      </c>
      <c r="D232" s="75" t="s">
        <v>98</v>
      </c>
      <c r="E232" s="94">
        <v>3750</v>
      </c>
      <c r="F232" s="210"/>
      <c r="G232" s="207"/>
      <c r="H232" s="209">
        <f t="shared" si="4"/>
        <v>13410</v>
      </c>
      <c r="I232" s="75" t="s">
        <v>168</v>
      </c>
      <c r="J232" s="403" t="s">
        <v>529</v>
      </c>
      <c r="K232" s="167"/>
    </row>
    <row r="233" spans="1:11" ht="15.6">
      <c r="A233" s="212">
        <v>46107</v>
      </c>
      <c r="B233" s="75" t="s">
        <v>483</v>
      </c>
      <c r="C233" s="75" t="s">
        <v>463</v>
      </c>
      <c r="D233" s="75" t="s">
        <v>98</v>
      </c>
      <c r="E233" s="209"/>
      <c r="F233" s="94">
        <v>6160</v>
      </c>
      <c r="G233" s="207"/>
      <c r="H233" s="209">
        <f t="shared" si="4"/>
        <v>7250</v>
      </c>
      <c r="I233" s="75" t="s">
        <v>168</v>
      </c>
      <c r="J233" s="403" t="s">
        <v>528</v>
      </c>
      <c r="K233" s="167"/>
    </row>
    <row r="234" spans="1:11" ht="15.6">
      <c r="A234" s="212">
        <v>46107</v>
      </c>
      <c r="B234" s="75" t="s">
        <v>484</v>
      </c>
      <c r="C234" s="124" t="s">
        <v>120</v>
      </c>
      <c r="D234" s="75" t="s">
        <v>98</v>
      </c>
      <c r="E234" s="209"/>
      <c r="F234" s="94">
        <v>3750</v>
      </c>
      <c r="G234" s="207"/>
      <c r="H234" s="209">
        <f t="shared" si="4"/>
        <v>3500</v>
      </c>
      <c r="I234" s="75" t="s">
        <v>168</v>
      </c>
      <c r="J234" s="403" t="s">
        <v>529</v>
      </c>
      <c r="K234" s="167"/>
    </row>
    <row r="235" spans="1:11" ht="15.6">
      <c r="A235" s="264">
        <v>46107</v>
      </c>
      <c r="B235" s="211" t="s">
        <v>485</v>
      </c>
      <c r="C235" s="354" t="s">
        <v>337</v>
      </c>
      <c r="D235" s="75" t="s">
        <v>98</v>
      </c>
      <c r="E235" s="209"/>
      <c r="F235" s="210">
        <v>1000</v>
      </c>
      <c r="G235" s="207"/>
      <c r="H235" s="209">
        <f t="shared" si="4"/>
        <v>2500</v>
      </c>
      <c r="I235" s="75" t="s">
        <v>168</v>
      </c>
      <c r="J235" s="75" t="s">
        <v>510</v>
      </c>
      <c r="K235" s="167"/>
    </row>
    <row r="236" spans="1:11" ht="15.6">
      <c r="A236" s="264">
        <v>46107</v>
      </c>
      <c r="B236" s="211" t="s">
        <v>197</v>
      </c>
      <c r="C236" s="354" t="s">
        <v>337</v>
      </c>
      <c r="D236" s="75" t="s">
        <v>98</v>
      </c>
      <c r="E236" s="209"/>
      <c r="F236" s="210">
        <v>1000</v>
      </c>
      <c r="G236" s="207"/>
      <c r="H236" s="209">
        <f t="shared" si="4"/>
        <v>1500</v>
      </c>
      <c r="I236" s="75" t="s">
        <v>168</v>
      </c>
      <c r="J236" s="75" t="s">
        <v>510</v>
      </c>
      <c r="K236" s="167"/>
    </row>
    <row r="237" spans="1:11" ht="15.6">
      <c r="A237" s="264">
        <v>46107</v>
      </c>
      <c r="B237" s="211" t="s">
        <v>486</v>
      </c>
      <c r="C237" s="354" t="s">
        <v>337</v>
      </c>
      <c r="D237" s="75" t="s">
        <v>98</v>
      </c>
      <c r="E237" s="209"/>
      <c r="F237" s="210">
        <v>1000</v>
      </c>
      <c r="G237" s="207"/>
      <c r="H237" s="209">
        <f t="shared" si="4"/>
        <v>500</v>
      </c>
      <c r="I237" s="75" t="s">
        <v>168</v>
      </c>
      <c r="J237" s="75" t="s">
        <v>510</v>
      </c>
      <c r="K237" s="167"/>
    </row>
    <row r="238" spans="1:11" ht="15.6">
      <c r="A238" s="264">
        <v>46107</v>
      </c>
      <c r="B238" s="211" t="s">
        <v>470</v>
      </c>
      <c r="C238" s="354" t="s">
        <v>337</v>
      </c>
      <c r="D238" s="75" t="s">
        <v>98</v>
      </c>
      <c r="E238" s="209"/>
      <c r="F238" s="210">
        <v>1000</v>
      </c>
      <c r="G238" s="207"/>
      <c r="H238" s="209">
        <f t="shared" si="4"/>
        <v>-500</v>
      </c>
      <c r="I238" s="75" t="s">
        <v>168</v>
      </c>
      <c r="J238" s="75" t="s">
        <v>510</v>
      </c>
      <c r="K238" s="167"/>
    </row>
    <row r="239" spans="1:11" ht="15.6">
      <c r="A239" s="212">
        <v>46108</v>
      </c>
      <c r="B239" s="75" t="s">
        <v>487</v>
      </c>
      <c r="C239" s="75" t="s">
        <v>463</v>
      </c>
      <c r="D239" s="75" t="s">
        <v>98</v>
      </c>
      <c r="E239" s="94">
        <v>2660</v>
      </c>
      <c r="F239" s="210"/>
      <c r="G239" s="207"/>
      <c r="H239" s="209">
        <f t="shared" si="4"/>
        <v>2160</v>
      </c>
      <c r="I239" s="75" t="s">
        <v>168</v>
      </c>
      <c r="J239" s="403" t="s">
        <v>530</v>
      </c>
      <c r="K239" s="167"/>
    </row>
    <row r="240" spans="1:11" ht="15.6">
      <c r="A240" s="212">
        <v>46108</v>
      </c>
      <c r="B240" s="124" t="s">
        <v>488</v>
      </c>
      <c r="C240" s="75" t="s">
        <v>120</v>
      </c>
      <c r="D240" s="75" t="s">
        <v>98</v>
      </c>
      <c r="E240" s="94">
        <v>10000</v>
      </c>
      <c r="F240" s="210"/>
      <c r="G240" s="207"/>
      <c r="H240" s="209">
        <f t="shared" si="4"/>
        <v>12160</v>
      </c>
      <c r="I240" s="75" t="s">
        <v>168</v>
      </c>
      <c r="J240" s="403" t="s">
        <v>531</v>
      </c>
      <c r="K240" s="167"/>
    </row>
    <row r="241" spans="1:11" ht="15.6">
      <c r="A241" s="212">
        <v>46108</v>
      </c>
      <c r="B241" s="124" t="s">
        <v>489</v>
      </c>
      <c r="C241" s="75" t="s">
        <v>120</v>
      </c>
      <c r="D241" s="75" t="s">
        <v>98</v>
      </c>
      <c r="E241" s="94">
        <v>4000</v>
      </c>
      <c r="F241" s="210"/>
      <c r="G241" s="207"/>
      <c r="H241" s="209">
        <f t="shared" si="4"/>
        <v>16160</v>
      </c>
      <c r="I241" s="75" t="s">
        <v>168</v>
      </c>
      <c r="J241" s="403" t="s">
        <v>531</v>
      </c>
      <c r="K241" s="167"/>
    </row>
    <row r="242" spans="1:11" ht="15.6">
      <c r="A242" s="212">
        <v>46108</v>
      </c>
      <c r="B242" s="124" t="s">
        <v>490</v>
      </c>
      <c r="C242" s="75" t="s">
        <v>120</v>
      </c>
      <c r="D242" s="75" t="s">
        <v>98</v>
      </c>
      <c r="E242" s="94">
        <v>3500</v>
      </c>
      <c r="F242" s="210"/>
      <c r="G242" s="207"/>
      <c r="H242" s="209">
        <f t="shared" si="4"/>
        <v>19660</v>
      </c>
      <c r="I242" s="75" t="s">
        <v>168</v>
      </c>
      <c r="J242" s="403" t="s">
        <v>531</v>
      </c>
      <c r="K242" s="167"/>
    </row>
    <row r="243" spans="1:11" ht="15.6">
      <c r="A243" s="212">
        <v>46108</v>
      </c>
      <c r="B243" s="124" t="s">
        <v>491</v>
      </c>
      <c r="C243" s="75" t="s">
        <v>120</v>
      </c>
      <c r="D243" s="75" t="s">
        <v>98</v>
      </c>
      <c r="E243" s="94">
        <v>3500</v>
      </c>
      <c r="F243" s="210"/>
      <c r="G243" s="207"/>
      <c r="H243" s="209">
        <f t="shared" si="4"/>
        <v>23160</v>
      </c>
      <c r="I243" s="75" t="s">
        <v>168</v>
      </c>
      <c r="J243" s="403" t="s">
        <v>531</v>
      </c>
      <c r="K243" s="167"/>
    </row>
    <row r="244" spans="1:11" ht="15.6">
      <c r="A244" s="212">
        <v>46108</v>
      </c>
      <c r="B244" s="124" t="s">
        <v>492</v>
      </c>
      <c r="C244" s="75" t="s">
        <v>120</v>
      </c>
      <c r="D244" s="75" t="s">
        <v>98</v>
      </c>
      <c r="E244" s="94">
        <v>5600</v>
      </c>
      <c r="F244" s="210"/>
      <c r="G244" s="207"/>
      <c r="H244" s="209">
        <f t="shared" si="4"/>
        <v>28760</v>
      </c>
      <c r="I244" s="75" t="s">
        <v>168</v>
      </c>
      <c r="J244" s="403" t="s">
        <v>531</v>
      </c>
      <c r="K244" s="167"/>
    </row>
    <row r="245" spans="1:11" ht="15.6">
      <c r="A245" s="212">
        <v>46108</v>
      </c>
      <c r="B245" s="124" t="s">
        <v>493</v>
      </c>
      <c r="C245" s="75" t="s">
        <v>120</v>
      </c>
      <c r="D245" s="75" t="s">
        <v>98</v>
      </c>
      <c r="E245" s="94">
        <v>6000</v>
      </c>
      <c r="F245" s="210"/>
      <c r="G245" s="207"/>
      <c r="H245" s="209">
        <f t="shared" si="4"/>
        <v>34760</v>
      </c>
      <c r="I245" s="75" t="s">
        <v>168</v>
      </c>
      <c r="J245" s="403" t="s">
        <v>531</v>
      </c>
      <c r="K245" s="167"/>
    </row>
    <row r="246" spans="1:11" ht="15.6">
      <c r="A246" s="212">
        <v>46108</v>
      </c>
      <c r="B246" s="124" t="s">
        <v>494</v>
      </c>
      <c r="C246" s="75" t="s">
        <v>120</v>
      </c>
      <c r="D246" s="75" t="s">
        <v>98</v>
      </c>
      <c r="E246" s="94">
        <v>1250</v>
      </c>
      <c r="F246" s="210"/>
      <c r="G246" s="207"/>
      <c r="H246" s="209">
        <f t="shared" si="4"/>
        <v>36010</v>
      </c>
      <c r="I246" s="75" t="s">
        <v>168</v>
      </c>
      <c r="J246" s="403" t="s">
        <v>531</v>
      </c>
      <c r="K246" s="167"/>
    </row>
    <row r="247" spans="1:11" ht="15.6">
      <c r="A247" s="212">
        <v>46108</v>
      </c>
      <c r="B247" s="124" t="s">
        <v>495</v>
      </c>
      <c r="C247" s="75" t="s">
        <v>120</v>
      </c>
      <c r="D247" s="75" t="s">
        <v>98</v>
      </c>
      <c r="E247" s="94">
        <v>1200</v>
      </c>
      <c r="F247" s="210"/>
      <c r="G247" s="207"/>
      <c r="H247" s="209">
        <f t="shared" si="4"/>
        <v>37210</v>
      </c>
      <c r="I247" s="75" t="s">
        <v>168</v>
      </c>
      <c r="J247" s="403" t="s">
        <v>531</v>
      </c>
      <c r="K247" s="167"/>
    </row>
    <row r="248" spans="1:11" ht="15.6">
      <c r="A248" s="212">
        <v>46108</v>
      </c>
      <c r="B248" s="124" t="s">
        <v>496</v>
      </c>
      <c r="C248" s="75" t="s">
        <v>120</v>
      </c>
      <c r="D248" s="75" t="s">
        <v>98</v>
      </c>
      <c r="E248" s="94">
        <v>3700</v>
      </c>
      <c r="F248" s="210"/>
      <c r="G248" s="207"/>
      <c r="H248" s="209">
        <f t="shared" si="4"/>
        <v>40910</v>
      </c>
      <c r="I248" s="75" t="s">
        <v>168</v>
      </c>
      <c r="J248" s="403" t="s">
        <v>531</v>
      </c>
      <c r="K248" s="167"/>
    </row>
    <row r="249" spans="1:11" ht="15.6">
      <c r="A249" s="212">
        <v>46108</v>
      </c>
      <c r="B249" s="124" t="s">
        <v>497</v>
      </c>
      <c r="C249" s="75" t="s">
        <v>120</v>
      </c>
      <c r="D249" s="75" t="s">
        <v>98</v>
      </c>
      <c r="E249" s="94">
        <v>17550</v>
      </c>
      <c r="F249" s="210"/>
      <c r="G249" s="207"/>
      <c r="H249" s="209">
        <f t="shared" si="4"/>
        <v>58460</v>
      </c>
      <c r="I249" s="75" t="s">
        <v>168</v>
      </c>
      <c r="J249" s="403" t="s">
        <v>531</v>
      </c>
      <c r="K249" s="167"/>
    </row>
    <row r="250" spans="1:11" ht="15.6">
      <c r="A250" s="212">
        <v>46108</v>
      </c>
      <c r="B250" s="124" t="s">
        <v>498</v>
      </c>
      <c r="C250" s="75" t="s">
        <v>120</v>
      </c>
      <c r="D250" s="75" t="s">
        <v>98</v>
      </c>
      <c r="E250" s="94">
        <v>11100</v>
      </c>
      <c r="F250" s="210"/>
      <c r="G250" s="207"/>
      <c r="H250" s="209">
        <f t="shared" si="4"/>
        <v>69560</v>
      </c>
      <c r="I250" s="75" t="s">
        <v>168</v>
      </c>
      <c r="J250" s="403" t="s">
        <v>531</v>
      </c>
      <c r="K250" s="167"/>
    </row>
    <row r="251" spans="1:11" ht="15.6">
      <c r="A251" s="212">
        <v>46108</v>
      </c>
      <c r="B251" s="75" t="s">
        <v>487</v>
      </c>
      <c r="C251" s="75" t="s">
        <v>463</v>
      </c>
      <c r="D251" s="75" t="s">
        <v>98</v>
      </c>
      <c r="E251" s="209"/>
      <c r="F251" s="94">
        <v>2660</v>
      </c>
      <c r="G251" s="207"/>
      <c r="H251" s="209">
        <f t="shared" si="4"/>
        <v>66900</v>
      </c>
      <c r="I251" s="75" t="s">
        <v>168</v>
      </c>
      <c r="J251" s="403" t="s">
        <v>530</v>
      </c>
      <c r="K251" s="167"/>
    </row>
    <row r="252" spans="1:11" ht="15.6">
      <c r="A252" s="212">
        <v>46108</v>
      </c>
      <c r="B252" s="124" t="s">
        <v>488</v>
      </c>
      <c r="C252" s="75" t="s">
        <v>120</v>
      </c>
      <c r="D252" s="75" t="s">
        <v>98</v>
      </c>
      <c r="E252" s="209"/>
      <c r="F252" s="94">
        <v>10000</v>
      </c>
      <c r="G252" s="207"/>
      <c r="H252" s="209">
        <f t="shared" si="4"/>
        <v>56900</v>
      </c>
      <c r="I252" s="75" t="s">
        <v>168</v>
      </c>
      <c r="J252" s="403" t="s">
        <v>531</v>
      </c>
      <c r="K252" s="167"/>
    </row>
    <row r="253" spans="1:11" ht="15.6">
      <c r="A253" s="212">
        <v>46108</v>
      </c>
      <c r="B253" s="124" t="s">
        <v>489</v>
      </c>
      <c r="C253" s="75" t="s">
        <v>120</v>
      </c>
      <c r="D253" s="75" t="s">
        <v>98</v>
      </c>
      <c r="E253" s="209"/>
      <c r="F253" s="94">
        <v>4000</v>
      </c>
      <c r="G253" s="207"/>
      <c r="H253" s="209">
        <f t="shared" si="4"/>
        <v>52900</v>
      </c>
      <c r="I253" s="75" t="s">
        <v>168</v>
      </c>
      <c r="J253" s="403" t="s">
        <v>531</v>
      </c>
      <c r="K253" s="167"/>
    </row>
    <row r="254" spans="1:11" ht="15.6">
      <c r="A254" s="212">
        <v>46108</v>
      </c>
      <c r="B254" s="124" t="s">
        <v>490</v>
      </c>
      <c r="C254" s="75" t="s">
        <v>120</v>
      </c>
      <c r="D254" s="75" t="s">
        <v>98</v>
      </c>
      <c r="E254" s="209"/>
      <c r="F254" s="94">
        <v>3500</v>
      </c>
      <c r="G254" s="207"/>
      <c r="H254" s="209">
        <f t="shared" si="4"/>
        <v>49400</v>
      </c>
      <c r="I254" s="75" t="s">
        <v>168</v>
      </c>
      <c r="J254" s="403" t="s">
        <v>531</v>
      </c>
      <c r="K254" s="167"/>
    </row>
    <row r="255" spans="1:11" ht="15.6">
      <c r="A255" s="212">
        <v>46108</v>
      </c>
      <c r="B255" s="124" t="s">
        <v>491</v>
      </c>
      <c r="C255" s="75" t="s">
        <v>120</v>
      </c>
      <c r="D255" s="75" t="s">
        <v>98</v>
      </c>
      <c r="E255" s="209"/>
      <c r="F255" s="94">
        <v>3500</v>
      </c>
      <c r="G255" s="207"/>
      <c r="H255" s="209">
        <f t="shared" si="4"/>
        <v>45900</v>
      </c>
      <c r="I255" s="75" t="s">
        <v>168</v>
      </c>
      <c r="J255" s="403" t="s">
        <v>531</v>
      </c>
      <c r="K255" s="167"/>
    </row>
    <row r="256" spans="1:11" ht="15.6">
      <c r="A256" s="212">
        <v>46108</v>
      </c>
      <c r="B256" s="124" t="s">
        <v>492</v>
      </c>
      <c r="C256" s="75" t="s">
        <v>120</v>
      </c>
      <c r="D256" s="75" t="s">
        <v>98</v>
      </c>
      <c r="E256" s="209"/>
      <c r="F256" s="94">
        <v>5600</v>
      </c>
      <c r="G256" s="207"/>
      <c r="H256" s="209">
        <f t="shared" si="4"/>
        <v>40300</v>
      </c>
      <c r="I256" s="75" t="s">
        <v>168</v>
      </c>
      <c r="J256" s="403" t="s">
        <v>531</v>
      </c>
      <c r="K256" s="167"/>
    </row>
    <row r="257" spans="1:11" ht="15.6">
      <c r="A257" s="212">
        <v>46108</v>
      </c>
      <c r="B257" s="124" t="s">
        <v>493</v>
      </c>
      <c r="C257" s="75" t="s">
        <v>120</v>
      </c>
      <c r="D257" s="75" t="s">
        <v>98</v>
      </c>
      <c r="E257" s="209"/>
      <c r="F257" s="94">
        <v>6000</v>
      </c>
      <c r="G257" s="207"/>
      <c r="H257" s="209">
        <f t="shared" si="4"/>
        <v>34300</v>
      </c>
      <c r="I257" s="75" t="s">
        <v>168</v>
      </c>
      <c r="J257" s="403" t="s">
        <v>531</v>
      </c>
      <c r="K257" s="167"/>
    </row>
    <row r="258" spans="1:11" ht="15.6">
      <c r="A258" s="212">
        <v>46108</v>
      </c>
      <c r="B258" s="124" t="s">
        <v>494</v>
      </c>
      <c r="C258" s="75" t="s">
        <v>120</v>
      </c>
      <c r="D258" s="75" t="s">
        <v>98</v>
      </c>
      <c r="E258" s="209"/>
      <c r="F258" s="94">
        <v>1250</v>
      </c>
      <c r="G258" s="207"/>
      <c r="H258" s="209">
        <f t="shared" si="4"/>
        <v>33050</v>
      </c>
      <c r="I258" s="75" t="s">
        <v>168</v>
      </c>
      <c r="J258" s="403" t="s">
        <v>531</v>
      </c>
      <c r="K258" s="167"/>
    </row>
    <row r="259" spans="1:11" ht="15.6">
      <c r="A259" s="212">
        <v>46108</v>
      </c>
      <c r="B259" s="124" t="s">
        <v>495</v>
      </c>
      <c r="C259" s="75" t="s">
        <v>120</v>
      </c>
      <c r="D259" s="75" t="s">
        <v>98</v>
      </c>
      <c r="E259" s="209"/>
      <c r="F259" s="94">
        <v>1200</v>
      </c>
      <c r="G259" s="207"/>
      <c r="H259" s="209">
        <f t="shared" si="4"/>
        <v>31850</v>
      </c>
      <c r="I259" s="75" t="s">
        <v>168</v>
      </c>
      <c r="J259" s="403" t="s">
        <v>531</v>
      </c>
      <c r="K259" s="167"/>
    </row>
    <row r="260" spans="1:11" ht="15.6">
      <c r="A260" s="212">
        <v>46108</v>
      </c>
      <c r="B260" s="124" t="s">
        <v>496</v>
      </c>
      <c r="C260" s="75" t="s">
        <v>120</v>
      </c>
      <c r="D260" s="75" t="s">
        <v>98</v>
      </c>
      <c r="E260" s="209"/>
      <c r="F260" s="94">
        <v>3700</v>
      </c>
      <c r="G260" s="207"/>
      <c r="H260" s="209">
        <f t="shared" si="4"/>
        <v>28150</v>
      </c>
      <c r="I260" s="75" t="s">
        <v>168</v>
      </c>
      <c r="J260" s="403" t="s">
        <v>531</v>
      </c>
      <c r="K260" s="167"/>
    </row>
    <row r="261" spans="1:11" ht="15.6">
      <c r="A261" s="212">
        <v>46108</v>
      </c>
      <c r="B261" s="124" t="s">
        <v>497</v>
      </c>
      <c r="C261" s="75" t="s">
        <v>120</v>
      </c>
      <c r="D261" s="75" t="s">
        <v>98</v>
      </c>
      <c r="E261" s="209"/>
      <c r="F261" s="94">
        <v>17550</v>
      </c>
      <c r="G261" s="207"/>
      <c r="H261" s="209">
        <f t="shared" si="4"/>
        <v>10600</v>
      </c>
      <c r="I261" s="75" t="s">
        <v>168</v>
      </c>
      <c r="J261" s="403" t="s">
        <v>531</v>
      </c>
      <c r="K261" s="167"/>
    </row>
    <row r="262" spans="1:11" ht="15.6">
      <c r="A262" s="212">
        <v>46108</v>
      </c>
      <c r="B262" s="124" t="s">
        <v>498</v>
      </c>
      <c r="C262" s="75" t="s">
        <v>120</v>
      </c>
      <c r="D262" s="75" t="s">
        <v>98</v>
      </c>
      <c r="E262" s="209"/>
      <c r="F262" s="94">
        <v>11100</v>
      </c>
      <c r="G262" s="207"/>
      <c r="H262" s="209">
        <f t="shared" si="4"/>
        <v>-500</v>
      </c>
      <c r="I262" s="75" t="s">
        <v>168</v>
      </c>
      <c r="J262" s="403" t="s">
        <v>531</v>
      </c>
      <c r="K262" s="167"/>
    </row>
    <row r="263" spans="1:11" ht="15.6">
      <c r="A263" s="264">
        <v>46108</v>
      </c>
      <c r="B263" s="211" t="s">
        <v>499</v>
      </c>
      <c r="C263" s="354" t="s">
        <v>337</v>
      </c>
      <c r="D263" s="75" t="s">
        <v>98</v>
      </c>
      <c r="E263" s="209"/>
      <c r="F263" s="210">
        <v>1000</v>
      </c>
      <c r="G263" s="207"/>
      <c r="H263" s="209">
        <f t="shared" si="4"/>
        <v>-1500</v>
      </c>
      <c r="I263" s="75" t="s">
        <v>168</v>
      </c>
      <c r="J263" s="75" t="s">
        <v>510</v>
      </c>
      <c r="K263" s="167"/>
    </row>
    <row r="264" spans="1:11" ht="15.6">
      <c r="A264" s="264">
        <v>46108</v>
      </c>
      <c r="B264" s="211" t="s">
        <v>470</v>
      </c>
      <c r="C264" s="354" t="s">
        <v>337</v>
      </c>
      <c r="D264" s="75" t="s">
        <v>98</v>
      </c>
      <c r="E264" s="209"/>
      <c r="F264" s="210">
        <v>1000</v>
      </c>
      <c r="G264" s="207"/>
      <c r="H264" s="209">
        <f t="shared" si="4"/>
        <v>-2500</v>
      </c>
      <c r="I264" s="75" t="s">
        <v>168</v>
      </c>
      <c r="J264" s="75" t="s">
        <v>510</v>
      </c>
      <c r="K264" s="167"/>
    </row>
    <row r="265" spans="1:11" ht="15.6">
      <c r="A265" s="264">
        <v>46108</v>
      </c>
      <c r="B265" s="211" t="s">
        <v>500</v>
      </c>
      <c r="C265" s="354" t="s">
        <v>337</v>
      </c>
      <c r="D265" s="75" t="s">
        <v>98</v>
      </c>
      <c r="E265" s="209"/>
      <c r="F265" s="210">
        <v>1000</v>
      </c>
      <c r="G265" s="207"/>
      <c r="H265" s="209">
        <f t="shared" si="4"/>
        <v>-3500</v>
      </c>
      <c r="I265" s="75" t="s">
        <v>168</v>
      </c>
      <c r="J265" s="75" t="s">
        <v>510</v>
      </c>
      <c r="K265" s="167"/>
    </row>
    <row r="266" spans="1:11" ht="15.6">
      <c r="A266" s="264">
        <v>46108</v>
      </c>
      <c r="B266" s="211" t="s">
        <v>501</v>
      </c>
      <c r="C266" s="354" t="s">
        <v>337</v>
      </c>
      <c r="D266" s="75" t="s">
        <v>98</v>
      </c>
      <c r="E266" s="209"/>
      <c r="F266" s="210">
        <v>1000</v>
      </c>
      <c r="G266" s="207"/>
      <c r="H266" s="209">
        <f t="shared" si="4"/>
        <v>-4500</v>
      </c>
      <c r="I266" s="75" t="s">
        <v>168</v>
      </c>
      <c r="J266" s="75" t="s">
        <v>510</v>
      </c>
      <c r="K266" s="167"/>
    </row>
    <row r="267" spans="1:11" ht="15.6">
      <c r="A267" s="212">
        <v>46111</v>
      </c>
      <c r="B267" s="75" t="s">
        <v>502</v>
      </c>
      <c r="C267" s="75" t="s">
        <v>103</v>
      </c>
      <c r="D267" s="75" t="s">
        <v>98</v>
      </c>
      <c r="E267" s="94">
        <v>6000</v>
      </c>
      <c r="F267" s="210"/>
      <c r="G267" s="207"/>
      <c r="H267" s="209">
        <f t="shared" si="4"/>
        <v>1500</v>
      </c>
      <c r="I267" s="75" t="s">
        <v>168</v>
      </c>
      <c r="J267" s="403" t="s">
        <v>532</v>
      </c>
      <c r="K267" s="167"/>
    </row>
    <row r="268" spans="1:11" ht="15.6">
      <c r="A268" s="212">
        <v>46111</v>
      </c>
      <c r="B268" s="75" t="s">
        <v>503</v>
      </c>
      <c r="C268" s="75" t="s">
        <v>130</v>
      </c>
      <c r="D268" s="75" t="s">
        <v>98</v>
      </c>
      <c r="E268" s="94">
        <v>80000</v>
      </c>
      <c r="F268" s="210"/>
      <c r="G268" s="207"/>
      <c r="H268" s="209">
        <f t="shared" si="4"/>
        <v>81500</v>
      </c>
      <c r="I268" s="75" t="s">
        <v>168</v>
      </c>
      <c r="J268" s="403" t="s">
        <v>533</v>
      </c>
      <c r="K268" s="167"/>
    </row>
    <row r="269" spans="1:11" ht="15.6">
      <c r="A269" s="212">
        <v>46111</v>
      </c>
      <c r="B269" s="75" t="s">
        <v>504</v>
      </c>
      <c r="C269" s="75" t="s">
        <v>130</v>
      </c>
      <c r="D269" s="75" t="s">
        <v>98</v>
      </c>
      <c r="E269" s="94">
        <v>40000</v>
      </c>
      <c r="F269" s="210"/>
      <c r="G269" s="207"/>
      <c r="H269" s="209">
        <f t="shared" si="4"/>
        <v>121500</v>
      </c>
      <c r="I269" s="75" t="s">
        <v>168</v>
      </c>
      <c r="J269" s="403" t="s">
        <v>534</v>
      </c>
      <c r="K269" s="167"/>
    </row>
    <row r="270" spans="1:11" ht="15.6">
      <c r="A270" s="212">
        <v>46111</v>
      </c>
      <c r="B270" s="75" t="s">
        <v>483</v>
      </c>
      <c r="C270" s="75" t="s">
        <v>463</v>
      </c>
      <c r="D270" s="75" t="s">
        <v>98</v>
      </c>
      <c r="E270" s="94">
        <v>5250</v>
      </c>
      <c r="F270" s="210"/>
      <c r="G270" s="207"/>
      <c r="H270" s="209">
        <f t="shared" si="4"/>
        <v>126750</v>
      </c>
      <c r="I270" s="75" t="s">
        <v>168</v>
      </c>
      <c r="J270" s="403" t="s">
        <v>535</v>
      </c>
      <c r="K270" s="167"/>
    </row>
    <row r="271" spans="1:11" ht="15.6">
      <c r="A271" s="212">
        <v>46111</v>
      </c>
      <c r="B271" s="75" t="s">
        <v>502</v>
      </c>
      <c r="C271" s="75" t="s">
        <v>103</v>
      </c>
      <c r="D271" s="75" t="s">
        <v>98</v>
      </c>
      <c r="E271" s="209"/>
      <c r="F271" s="94">
        <v>6000</v>
      </c>
      <c r="G271" s="207"/>
      <c r="H271" s="209">
        <f t="shared" si="4"/>
        <v>120750</v>
      </c>
      <c r="I271" s="75" t="s">
        <v>168</v>
      </c>
      <c r="J271" s="403" t="s">
        <v>532</v>
      </c>
      <c r="K271" s="167"/>
    </row>
    <row r="272" spans="1:11" ht="15.6">
      <c r="A272" s="212">
        <v>46111</v>
      </c>
      <c r="B272" s="75" t="s">
        <v>503</v>
      </c>
      <c r="C272" s="75" t="s">
        <v>130</v>
      </c>
      <c r="D272" s="75" t="s">
        <v>98</v>
      </c>
      <c r="E272" s="209"/>
      <c r="F272" s="94">
        <v>80000</v>
      </c>
      <c r="G272" s="207"/>
      <c r="H272" s="209">
        <f t="shared" si="4"/>
        <v>40750</v>
      </c>
      <c r="I272" s="75" t="s">
        <v>168</v>
      </c>
      <c r="J272" s="403" t="s">
        <v>533</v>
      </c>
      <c r="K272" s="167"/>
    </row>
    <row r="273" spans="1:11" ht="15.6">
      <c r="A273" s="212">
        <v>46111</v>
      </c>
      <c r="B273" s="75" t="s">
        <v>504</v>
      </c>
      <c r="C273" s="75" t="s">
        <v>130</v>
      </c>
      <c r="D273" s="75" t="s">
        <v>98</v>
      </c>
      <c r="E273" s="209"/>
      <c r="F273" s="94">
        <v>40000</v>
      </c>
      <c r="G273" s="207"/>
      <c r="H273" s="209">
        <f t="shared" si="4"/>
        <v>750</v>
      </c>
      <c r="I273" s="75" t="s">
        <v>168</v>
      </c>
      <c r="J273" s="403" t="s">
        <v>534</v>
      </c>
      <c r="K273" s="167"/>
    </row>
    <row r="274" spans="1:11" ht="15.6">
      <c r="A274" s="212">
        <v>46111</v>
      </c>
      <c r="B274" s="75" t="s">
        <v>483</v>
      </c>
      <c r="C274" s="75" t="s">
        <v>463</v>
      </c>
      <c r="D274" s="75" t="s">
        <v>98</v>
      </c>
      <c r="E274" s="209"/>
      <c r="F274" s="94">
        <v>5250</v>
      </c>
      <c r="G274" s="207"/>
      <c r="H274" s="209">
        <f t="shared" si="4"/>
        <v>-4500</v>
      </c>
      <c r="I274" s="75" t="s">
        <v>168</v>
      </c>
      <c r="J274" s="403" t="s">
        <v>535</v>
      </c>
      <c r="K274" s="167"/>
    </row>
    <row r="275" spans="1:11" ht="15.6">
      <c r="A275" s="264">
        <v>46111</v>
      </c>
      <c r="B275" s="211" t="s">
        <v>486</v>
      </c>
      <c r="C275" s="354" t="s">
        <v>337</v>
      </c>
      <c r="D275" s="75" t="s">
        <v>98</v>
      </c>
      <c r="E275" s="209"/>
      <c r="F275" s="210">
        <v>1000</v>
      </c>
      <c r="G275" s="207"/>
      <c r="H275" s="209">
        <f t="shared" si="4"/>
        <v>-5500</v>
      </c>
      <c r="I275" s="75" t="s">
        <v>168</v>
      </c>
      <c r="J275" s="75" t="s">
        <v>510</v>
      </c>
      <c r="K275" s="167"/>
    </row>
    <row r="276" spans="1:11" ht="15.6">
      <c r="A276" s="264">
        <v>46111</v>
      </c>
      <c r="B276" s="211" t="s">
        <v>470</v>
      </c>
      <c r="C276" s="354" t="s">
        <v>337</v>
      </c>
      <c r="D276" s="75" t="s">
        <v>98</v>
      </c>
      <c r="E276" s="209"/>
      <c r="F276" s="210">
        <v>1000</v>
      </c>
      <c r="G276" s="207"/>
      <c r="H276" s="209">
        <f t="shared" si="4"/>
        <v>-6500</v>
      </c>
      <c r="I276" s="75" t="s">
        <v>168</v>
      </c>
      <c r="J276" s="75" t="s">
        <v>510</v>
      </c>
      <c r="K276" s="167"/>
    </row>
    <row r="277" spans="1:11" ht="15.6">
      <c r="A277" s="264">
        <v>46111</v>
      </c>
      <c r="B277" s="211" t="s">
        <v>505</v>
      </c>
      <c r="C277" s="354" t="s">
        <v>337</v>
      </c>
      <c r="D277" s="75" t="s">
        <v>98</v>
      </c>
      <c r="E277" s="209"/>
      <c r="F277" s="210">
        <v>1000</v>
      </c>
      <c r="G277" s="207"/>
      <c r="H277" s="209">
        <f t="shared" si="4"/>
        <v>-7500</v>
      </c>
      <c r="I277" s="75" t="s">
        <v>168</v>
      </c>
      <c r="J277" s="75" t="s">
        <v>510</v>
      </c>
      <c r="K277" s="167"/>
    </row>
    <row r="278" spans="1:11" ht="15.6">
      <c r="A278" s="264">
        <v>46111</v>
      </c>
      <c r="B278" s="211" t="s">
        <v>506</v>
      </c>
      <c r="C278" s="354" t="s">
        <v>337</v>
      </c>
      <c r="D278" s="75" t="s">
        <v>98</v>
      </c>
      <c r="E278" s="209"/>
      <c r="F278" s="210">
        <v>1000</v>
      </c>
      <c r="G278" s="207"/>
      <c r="H278" s="209">
        <f t="shared" si="4"/>
        <v>-8500</v>
      </c>
      <c r="I278" s="75" t="s">
        <v>168</v>
      </c>
      <c r="J278" s="75" t="s">
        <v>510</v>
      </c>
      <c r="K278" s="167"/>
    </row>
    <row r="279" spans="1:11" ht="15.6">
      <c r="A279" s="264">
        <v>46112</v>
      </c>
      <c r="B279" s="75" t="s">
        <v>507</v>
      </c>
      <c r="C279" s="354" t="s">
        <v>337</v>
      </c>
      <c r="D279" s="75" t="s">
        <v>98</v>
      </c>
      <c r="E279" s="209"/>
      <c r="F279" s="210">
        <v>1000</v>
      </c>
      <c r="G279" s="207"/>
      <c r="H279" s="209">
        <f t="shared" si="4"/>
        <v>-9500</v>
      </c>
      <c r="I279" s="75" t="s">
        <v>168</v>
      </c>
      <c r="J279" s="75" t="s">
        <v>510</v>
      </c>
      <c r="K279" s="167"/>
    </row>
    <row r="280" spans="1:11" ht="15.6">
      <c r="A280" s="264">
        <v>46112</v>
      </c>
      <c r="B280" s="75" t="s">
        <v>508</v>
      </c>
      <c r="C280" s="354" t="s">
        <v>337</v>
      </c>
      <c r="D280" s="75" t="s">
        <v>98</v>
      </c>
      <c r="E280" s="209"/>
      <c r="F280" s="210">
        <v>1000</v>
      </c>
      <c r="G280" s="207"/>
      <c r="H280" s="209">
        <f t="shared" si="4"/>
        <v>-10500</v>
      </c>
      <c r="I280" s="75" t="s">
        <v>168</v>
      </c>
      <c r="J280" s="75" t="s">
        <v>510</v>
      </c>
      <c r="K280" s="167"/>
    </row>
    <row r="281" spans="1:11" ht="15.6">
      <c r="A281" s="264">
        <v>46112</v>
      </c>
      <c r="B281" s="75" t="s">
        <v>509</v>
      </c>
      <c r="C281" s="354" t="s">
        <v>337</v>
      </c>
      <c r="D281" s="75" t="s">
        <v>98</v>
      </c>
      <c r="E281" s="209"/>
      <c r="F281" s="210">
        <v>1000</v>
      </c>
      <c r="G281" s="207"/>
      <c r="H281" s="209">
        <f t="shared" si="4"/>
        <v>-11500</v>
      </c>
      <c r="I281" s="75" t="s">
        <v>168</v>
      </c>
      <c r="J281" s="75" t="s">
        <v>510</v>
      </c>
      <c r="K281" s="167"/>
    </row>
    <row r="282" spans="1:11" ht="15.6">
      <c r="A282" s="264">
        <v>46112</v>
      </c>
      <c r="B282" s="75" t="s">
        <v>442</v>
      </c>
      <c r="C282" s="354" t="s">
        <v>102</v>
      </c>
      <c r="D282" s="75" t="s">
        <v>98</v>
      </c>
      <c r="E282" s="209">
        <v>20000</v>
      </c>
      <c r="F282" s="210"/>
      <c r="G282" s="207"/>
      <c r="H282" s="209">
        <f t="shared" si="4"/>
        <v>8500</v>
      </c>
      <c r="I282" s="75" t="s">
        <v>168</v>
      </c>
      <c r="J282" s="75" t="s">
        <v>536</v>
      </c>
      <c r="K282" s="167"/>
    </row>
    <row r="283" spans="1:11" ht="15.6">
      <c r="A283" s="178"/>
      <c r="B283" s="176"/>
      <c r="C283" s="176"/>
      <c r="D283" s="176"/>
      <c r="E283" s="180">
        <f>SUM(E156:E282)</f>
        <v>618423</v>
      </c>
      <c r="F283" s="180">
        <f>SUM(F155:F282)</f>
        <v>597923</v>
      </c>
      <c r="G283" s="180"/>
      <c r="H283" s="181">
        <f>+H155+E283-F283</f>
        <v>8500</v>
      </c>
      <c r="I283" s="176"/>
      <c r="J283" s="176"/>
      <c r="K283" s="176"/>
    </row>
    <row r="284" spans="1:11" ht="15.6">
      <c r="A284" s="178"/>
      <c r="B284" s="176"/>
      <c r="C284" s="176"/>
      <c r="D284" s="176"/>
      <c r="E284" s="180"/>
      <c r="F284" s="180"/>
      <c r="G284" s="180"/>
      <c r="H284" s="181"/>
      <c r="I284" s="176"/>
      <c r="J284" s="176"/>
      <c r="K284" s="176"/>
    </row>
    <row r="285" spans="1:11" ht="15.6">
      <c r="A285" s="178"/>
      <c r="B285" s="176"/>
      <c r="C285" s="179" t="s">
        <v>151</v>
      </c>
      <c r="D285" s="176"/>
      <c r="E285" s="180"/>
      <c r="F285" s="180"/>
      <c r="G285" s="180"/>
      <c r="H285" s="181"/>
      <c r="I285" s="176"/>
      <c r="J285" s="176"/>
      <c r="K285" s="176"/>
    </row>
    <row r="286" spans="1:11" ht="15.6">
      <c r="A286" s="178"/>
      <c r="B286" s="176"/>
      <c r="C286" s="176"/>
      <c r="D286" s="176"/>
      <c r="E286" s="180"/>
      <c r="F286" s="180"/>
      <c r="G286" s="180"/>
      <c r="H286" s="181"/>
      <c r="I286" s="176"/>
      <c r="J286" s="176"/>
      <c r="K286" s="176"/>
    </row>
    <row r="287" spans="1:11" ht="15.6">
      <c r="A287" s="182" t="s">
        <v>0</v>
      </c>
      <c r="B287" s="183" t="s">
        <v>141</v>
      </c>
      <c r="C287" s="183" t="s">
        <v>142</v>
      </c>
      <c r="D287" s="183" t="s">
        <v>143</v>
      </c>
      <c r="E287" s="184" t="s">
        <v>144</v>
      </c>
      <c r="F287" s="184" t="s">
        <v>145</v>
      </c>
      <c r="G287" s="184"/>
      <c r="H287" s="190" t="s">
        <v>30</v>
      </c>
      <c r="I287" s="183" t="s">
        <v>146</v>
      </c>
      <c r="J287" s="183" t="s">
        <v>147</v>
      </c>
      <c r="K287" s="176"/>
    </row>
    <row r="288" spans="1:11" ht="15.6">
      <c r="A288" s="427">
        <v>46082</v>
      </c>
      <c r="B288" s="405" t="s">
        <v>857</v>
      </c>
      <c r="C288" s="405"/>
      <c r="D288" s="405"/>
      <c r="E288" s="406"/>
      <c r="F288" s="406"/>
      <c r="G288" s="406"/>
      <c r="H288" s="407">
        <v>-490</v>
      </c>
      <c r="I288" s="407" t="s">
        <v>123</v>
      </c>
      <c r="J288" s="405"/>
      <c r="K288" s="176"/>
    </row>
    <row r="289" spans="1:11" ht="15.6">
      <c r="A289" s="480">
        <v>46085</v>
      </c>
      <c r="B289" s="165" t="s">
        <v>537</v>
      </c>
      <c r="C289" s="165" t="s">
        <v>102</v>
      </c>
      <c r="D289" s="165" t="s">
        <v>259</v>
      </c>
      <c r="E289" s="165">
        <v>30000</v>
      </c>
      <c r="F289" s="165"/>
      <c r="G289" s="406"/>
      <c r="H289" s="407">
        <f>H288+E289-F289</f>
        <v>29510</v>
      </c>
      <c r="I289" s="165" t="s">
        <v>123</v>
      </c>
      <c r="J289" s="165" t="s">
        <v>548</v>
      </c>
      <c r="K289" s="176"/>
    </row>
    <row r="290" spans="1:11" ht="15.6">
      <c r="A290" s="480">
        <v>46085</v>
      </c>
      <c r="B290" s="165" t="s">
        <v>538</v>
      </c>
      <c r="C290" s="165" t="s">
        <v>110</v>
      </c>
      <c r="D290" s="165" t="s">
        <v>259</v>
      </c>
      <c r="E290" s="165">
        <v>7500</v>
      </c>
      <c r="F290" s="165"/>
      <c r="G290" s="406"/>
      <c r="H290" s="407">
        <f t="shared" ref="H290:H353" si="5">H289+E290-F290</f>
        <v>37010</v>
      </c>
      <c r="I290" s="165" t="s">
        <v>123</v>
      </c>
      <c r="J290" s="165" t="s">
        <v>549</v>
      </c>
      <c r="K290" s="176"/>
    </row>
    <row r="291" spans="1:11" ht="15.6">
      <c r="A291" s="480">
        <v>46085</v>
      </c>
      <c r="B291" s="165" t="s">
        <v>538</v>
      </c>
      <c r="C291" s="165" t="s">
        <v>110</v>
      </c>
      <c r="D291" s="165" t="s">
        <v>259</v>
      </c>
      <c r="E291" s="165"/>
      <c r="F291" s="165">
        <v>7500</v>
      </c>
      <c r="G291" s="406"/>
      <c r="H291" s="407">
        <f t="shared" si="5"/>
        <v>29510</v>
      </c>
      <c r="I291" s="165" t="s">
        <v>123</v>
      </c>
      <c r="J291" s="165" t="s">
        <v>549</v>
      </c>
      <c r="K291" s="176"/>
    </row>
    <row r="292" spans="1:11" ht="15.6">
      <c r="A292" s="480">
        <v>46086</v>
      </c>
      <c r="B292" s="165" t="s">
        <v>1033</v>
      </c>
      <c r="C292" s="165" t="s">
        <v>539</v>
      </c>
      <c r="D292" s="165" t="s">
        <v>259</v>
      </c>
      <c r="E292" s="165"/>
      <c r="F292" s="165">
        <v>1000</v>
      </c>
      <c r="G292" s="406"/>
      <c r="H292" s="407">
        <f t="shared" si="5"/>
        <v>28510</v>
      </c>
      <c r="I292" s="165" t="s">
        <v>123</v>
      </c>
      <c r="J292" s="165" t="s">
        <v>550</v>
      </c>
      <c r="K292" s="176"/>
    </row>
    <row r="293" spans="1:11" ht="15.6">
      <c r="A293" s="480">
        <v>46086</v>
      </c>
      <c r="B293" s="165" t="s">
        <v>1033</v>
      </c>
      <c r="C293" s="165" t="s">
        <v>539</v>
      </c>
      <c r="D293" s="165" t="s">
        <v>259</v>
      </c>
      <c r="E293" s="165"/>
      <c r="F293" s="165">
        <v>1000</v>
      </c>
      <c r="G293" s="406"/>
      <c r="H293" s="407">
        <f t="shared" si="5"/>
        <v>27510</v>
      </c>
      <c r="I293" s="165" t="s">
        <v>123</v>
      </c>
      <c r="J293" s="165" t="s">
        <v>550</v>
      </c>
      <c r="K293" s="176"/>
    </row>
    <row r="294" spans="1:11" ht="15.6">
      <c r="A294" s="480">
        <v>46086</v>
      </c>
      <c r="B294" s="165" t="s">
        <v>1033</v>
      </c>
      <c r="C294" s="165" t="s">
        <v>539</v>
      </c>
      <c r="D294" s="165" t="s">
        <v>259</v>
      </c>
      <c r="E294" s="165"/>
      <c r="F294" s="165">
        <v>1000</v>
      </c>
      <c r="G294" s="406"/>
      <c r="H294" s="407">
        <f t="shared" si="5"/>
        <v>26510</v>
      </c>
      <c r="I294" s="165" t="s">
        <v>123</v>
      </c>
      <c r="J294" s="165" t="s">
        <v>550</v>
      </c>
      <c r="K294" s="176"/>
    </row>
    <row r="295" spans="1:11" ht="15.6">
      <c r="A295" s="480">
        <v>46086</v>
      </c>
      <c r="B295" s="165" t="s">
        <v>1033</v>
      </c>
      <c r="C295" s="165" t="s">
        <v>539</v>
      </c>
      <c r="D295" s="165" t="s">
        <v>259</v>
      </c>
      <c r="E295" s="165"/>
      <c r="F295" s="165">
        <v>1000</v>
      </c>
      <c r="G295" s="406"/>
      <c r="H295" s="407">
        <f t="shared" si="5"/>
        <v>25510</v>
      </c>
      <c r="I295" s="165" t="s">
        <v>123</v>
      </c>
      <c r="J295" s="165" t="s">
        <v>550</v>
      </c>
      <c r="K295" s="176"/>
    </row>
    <row r="296" spans="1:11" ht="15.6">
      <c r="A296" s="480">
        <v>46086</v>
      </c>
      <c r="B296" s="165" t="s">
        <v>1033</v>
      </c>
      <c r="C296" s="165" t="s">
        <v>539</v>
      </c>
      <c r="D296" s="165" t="s">
        <v>259</v>
      </c>
      <c r="E296" s="165"/>
      <c r="F296" s="165">
        <v>1000</v>
      </c>
      <c r="G296" s="406"/>
      <c r="H296" s="407">
        <f t="shared" si="5"/>
        <v>24510</v>
      </c>
      <c r="I296" s="165" t="s">
        <v>123</v>
      </c>
      <c r="J296" s="165" t="s">
        <v>550</v>
      </c>
      <c r="K296" s="176"/>
    </row>
    <row r="297" spans="1:11" ht="15.6">
      <c r="A297" s="480">
        <v>46086</v>
      </c>
      <c r="B297" s="165" t="s">
        <v>1038</v>
      </c>
      <c r="C297" s="165" t="s">
        <v>539</v>
      </c>
      <c r="D297" s="165" t="s">
        <v>259</v>
      </c>
      <c r="E297" s="165"/>
      <c r="F297" s="165">
        <v>1000</v>
      </c>
      <c r="G297" s="406"/>
      <c r="H297" s="407">
        <f t="shared" si="5"/>
        <v>23510</v>
      </c>
      <c r="I297" s="165" t="s">
        <v>123</v>
      </c>
      <c r="J297" s="165" t="s">
        <v>550</v>
      </c>
      <c r="K297" s="176"/>
    </row>
    <row r="298" spans="1:11" ht="15.6">
      <c r="A298" s="480">
        <v>46086</v>
      </c>
      <c r="B298" s="165" t="s">
        <v>540</v>
      </c>
      <c r="C298" s="165" t="s">
        <v>541</v>
      </c>
      <c r="D298" s="165" t="s">
        <v>259</v>
      </c>
      <c r="E298" s="165"/>
      <c r="F298" s="165">
        <v>1500</v>
      </c>
      <c r="G298" s="406"/>
      <c r="H298" s="407">
        <f t="shared" si="5"/>
        <v>22010</v>
      </c>
      <c r="I298" s="165" t="s">
        <v>123</v>
      </c>
      <c r="J298" s="165" t="s">
        <v>551</v>
      </c>
      <c r="K298" s="176"/>
    </row>
    <row r="299" spans="1:11" ht="15.6">
      <c r="A299" s="480">
        <v>46087</v>
      </c>
      <c r="B299" s="165" t="s">
        <v>1033</v>
      </c>
      <c r="C299" s="165" t="s">
        <v>539</v>
      </c>
      <c r="D299" s="165" t="s">
        <v>259</v>
      </c>
      <c r="E299" s="165"/>
      <c r="F299" s="165">
        <v>1500</v>
      </c>
      <c r="G299" s="406"/>
      <c r="H299" s="407">
        <f t="shared" si="5"/>
        <v>20510</v>
      </c>
      <c r="I299" s="165" t="s">
        <v>123</v>
      </c>
      <c r="J299" s="165" t="s">
        <v>550</v>
      </c>
      <c r="K299" s="176"/>
    </row>
    <row r="300" spans="1:11" ht="15.6">
      <c r="A300" s="480">
        <v>46087</v>
      </c>
      <c r="B300" s="165" t="s">
        <v>1033</v>
      </c>
      <c r="C300" s="165" t="s">
        <v>539</v>
      </c>
      <c r="D300" s="165" t="s">
        <v>259</v>
      </c>
      <c r="E300" s="165"/>
      <c r="F300" s="165">
        <v>1000</v>
      </c>
      <c r="G300" s="406"/>
      <c r="H300" s="407">
        <f t="shared" si="5"/>
        <v>19510</v>
      </c>
      <c r="I300" s="165" t="s">
        <v>123</v>
      </c>
      <c r="J300" s="165" t="s">
        <v>550</v>
      </c>
      <c r="K300" s="176"/>
    </row>
    <row r="301" spans="1:11" ht="15.6">
      <c r="A301" s="480">
        <v>46087</v>
      </c>
      <c r="B301" s="165" t="s">
        <v>1033</v>
      </c>
      <c r="C301" s="165" t="s">
        <v>539</v>
      </c>
      <c r="D301" s="165" t="s">
        <v>259</v>
      </c>
      <c r="E301" s="165"/>
      <c r="F301" s="165">
        <v>1000</v>
      </c>
      <c r="G301" s="406"/>
      <c r="H301" s="407">
        <f t="shared" si="5"/>
        <v>18510</v>
      </c>
      <c r="I301" s="165" t="s">
        <v>123</v>
      </c>
      <c r="J301" s="165" t="s">
        <v>550</v>
      </c>
      <c r="K301" s="176"/>
    </row>
    <row r="302" spans="1:11" ht="15.6">
      <c r="A302" s="480">
        <v>46087</v>
      </c>
      <c r="B302" s="165" t="s">
        <v>1037</v>
      </c>
      <c r="C302" s="165" t="s">
        <v>539</v>
      </c>
      <c r="D302" s="165" t="s">
        <v>259</v>
      </c>
      <c r="E302" s="165"/>
      <c r="F302" s="165">
        <v>1000</v>
      </c>
      <c r="G302" s="406"/>
      <c r="H302" s="407">
        <f t="shared" si="5"/>
        <v>17510</v>
      </c>
      <c r="I302" s="165" t="s">
        <v>123</v>
      </c>
      <c r="J302" s="165" t="s">
        <v>550</v>
      </c>
      <c r="K302" s="176"/>
    </row>
    <row r="303" spans="1:11" ht="15.6">
      <c r="A303" s="480">
        <v>46087</v>
      </c>
      <c r="B303" s="165" t="s">
        <v>1075</v>
      </c>
      <c r="C303" s="165" t="s">
        <v>539</v>
      </c>
      <c r="D303" s="165" t="s">
        <v>259</v>
      </c>
      <c r="E303" s="165"/>
      <c r="F303" s="165">
        <v>1500</v>
      </c>
      <c r="G303" s="406"/>
      <c r="H303" s="407">
        <f t="shared" si="5"/>
        <v>16010</v>
      </c>
      <c r="I303" s="165" t="s">
        <v>123</v>
      </c>
      <c r="J303" s="165" t="s">
        <v>550</v>
      </c>
      <c r="K303" s="176"/>
    </row>
    <row r="304" spans="1:11" ht="15.6">
      <c r="A304" s="480">
        <v>46087</v>
      </c>
      <c r="B304" s="165" t="s">
        <v>540</v>
      </c>
      <c r="C304" s="165" t="s">
        <v>541</v>
      </c>
      <c r="D304" s="165" t="s">
        <v>259</v>
      </c>
      <c r="E304" s="165"/>
      <c r="F304" s="165">
        <v>1000</v>
      </c>
      <c r="G304" s="406"/>
      <c r="H304" s="407">
        <f t="shared" si="5"/>
        <v>15010</v>
      </c>
      <c r="I304" s="165" t="s">
        <v>123</v>
      </c>
      <c r="J304" s="165" t="s">
        <v>551</v>
      </c>
      <c r="K304" s="176"/>
    </row>
    <row r="305" spans="1:11" ht="15.6">
      <c r="A305" s="480">
        <v>46088</v>
      </c>
      <c r="B305" s="165" t="s">
        <v>1033</v>
      </c>
      <c r="C305" s="165" t="s">
        <v>539</v>
      </c>
      <c r="D305" s="165" t="s">
        <v>259</v>
      </c>
      <c r="E305" s="165"/>
      <c r="F305" s="165">
        <v>1500</v>
      </c>
      <c r="G305" s="406"/>
      <c r="H305" s="407">
        <f t="shared" si="5"/>
        <v>13510</v>
      </c>
      <c r="I305" s="165" t="s">
        <v>123</v>
      </c>
      <c r="J305" s="165" t="s">
        <v>550</v>
      </c>
      <c r="K305" s="176"/>
    </row>
    <row r="306" spans="1:11" ht="15.6">
      <c r="A306" s="480">
        <v>46088</v>
      </c>
      <c r="B306" s="165" t="s">
        <v>1033</v>
      </c>
      <c r="C306" s="165" t="s">
        <v>539</v>
      </c>
      <c r="D306" s="165" t="s">
        <v>259</v>
      </c>
      <c r="E306" s="165"/>
      <c r="F306" s="165">
        <v>1000</v>
      </c>
      <c r="G306" s="406"/>
      <c r="H306" s="407">
        <f t="shared" si="5"/>
        <v>12510</v>
      </c>
      <c r="I306" s="165" t="s">
        <v>123</v>
      </c>
      <c r="J306" s="165" t="s">
        <v>550</v>
      </c>
      <c r="K306" s="176"/>
    </row>
    <row r="307" spans="1:11" ht="15.6">
      <c r="A307" s="480">
        <v>46088</v>
      </c>
      <c r="B307" s="165" t="s">
        <v>1033</v>
      </c>
      <c r="C307" s="165" t="s">
        <v>539</v>
      </c>
      <c r="D307" s="165" t="s">
        <v>259</v>
      </c>
      <c r="E307" s="165"/>
      <c r="F307" s="165">
        <v>1000</v>
      </c>
      <c r="G307" s="406"/>
      <c r="H307" s="407">
        <f t="shared" si="5"/>
        <v>11510</v>
      </c>
      <c r="I307" s="165" t="s">
        <v>123</v>
      </c>
      <c r="J307" s="165" t="s">
        <v>550</v>
      </c>
      <c r="K307" s="176"/>
    </row>
    <row r="308" spans="1:11" ht="15.6">
      <c r="A308" s="480">
        <v>46088</v>
      </c>
      <c r="B308" s="165" t="s">
        <v>1033</v>
      </c>
      <c r="C308" s="165" t="s">
        <v>539</v>
      </c>
      <c r="D308" s="165" t="s">
        <v>259</v>
      </c>
      <c r="E308" s="165"/>
      <c r="F308" s="165">
        <v>1000</v>
      </c>
      <c r="G308" s="406"/>
      <c r="H308" s="407">
        <f t="shared" si="5"/>
        <v>10510</v>
      </c>
      <c r="I308" s="165" t="s">
        <v>123</v>
      </c>
      <c r="J308" s="165" t="s">
        <v>550</v>
      </c>
      <c r="K308" s="176"/>
    </row>
    <row r="309" spans="1:11" ht="15.6">
      <c r="A309" s="480">
        <v>46088</v>
      </c>
      <c r="B309" s="165" t="s">
        <v>1033</v>
      </c>
      <c r="C309" s="165" t="s">
        <v>539</v>
      </c>
      <c r="D309" s="165" t="s">
        <v>259</v>
      </c>
      <c r="E309" s="165"/>
      <c r="F309" s="165">
        <v>1000</v>
      </c>
      <c r="G309" s="406"/>
      <c r="H309" s="407">
        <f t="shared" si="5"/>
        <v>9510</v>
      </c>
      <c r="I309" s="165" t="s">
        <v>123</v>
      </c>
      <c r="J309" s="165" t="s">
        <v>550</v>
      </c>
      <c r="K309" s="176"/>
    </row>
    <row r="310" spans="1:11" ht="15.6">
      <c r="A310" s="480">
        <v>46088</v>
      </c>
      <c r="B310" s="165" t="s">
        <v>540</v>
      </c>
      <c r="C310" s="165" t="s">
        <v>541</v>
      </c>
      <c r="D310" s="165" t="s">
        <v>259</v>
      </c>
      <c r="E310" s="165"/>
      <c r="F310" s="165">
        <v>6000</v>
      </c>
      <c r="G310" s="406"/>
      <c r="H310" s="407">
        <f t="shared" si="5"/>
        <v>3510</v>
      </c>
      <c r="I310" s="165" t="s">
        <v>123</v>
      </c>
      <c r="J310" s="165" t="s">
        <v>551</v>
      </c>
      <c r="K310" s="176"/>
    </row>
    <row r="311" spans="1:11" ht="15.6">
      <c r="A311" s="480">
        <v>46090</v>
      </c>
      <c r="B311" s="165" t="s">
        <v>537</v>
      </c>
      <c r="C311" s="165" t="s">
        <v>102</v>
      </c>
      <c r="D311" s="165" t="s">
        <v>259</v>
      </c>
      <c r="E311" s="165">
        <v>110000</v>
      </c>
      <c r="F311" s="165"/>
      <c r="G311" s="406"/>
      <c r="H311" s="407">
        <f t="shared" si="5"/>
        <v>113510</v>
      </c>
      <c r="I311" s="165" t="s">
        <v>123</v>
      </c>
      <c r="J311" s="165" t="s">
        <v>552</v>
      </c>
      <c r="K311" s="176"/>
    </row>
    <row r="312" spans="1:11" ht="15.6">
      <c r="A312" s="480">
        <v>46090</v>
      </c>
      <c r="B312" s="165" t="s">
        <v>1028</v>
      </c>
      <c r="C312" s="165" t="s">
        <v>402</v>
      </c>
      <c r="D312" s="165" t="s">
        <v>259</v>
      </c>
      <c r="E312" s="165"/>
      <c r="F312" s="165">
        <v>9000</v>
      </c>
      <c r="G312" s="406"/>
      <c r="H312" s="407">
        <f t="shared" si="5"/>
        <v>104510</v>
      </c>
      <c r="I312" s="165" t="s">
        <v>123</v>
      </c>
      <c r="J312" s="165" t="s">
        <v>553</v>
      </c>
      <c r="K312" s="176"/>
    </row>
    <row r="313" spans="1:11" ht="15.6">
      <c r="A313" s="480">
        <v>46091</v>
      </c>
      <c r="B313" s="165" t="s">
        <v>1076</v>
      </c>
      <c r="C313" s="165" t="s">
        <v>542</v>
      </c>
      <c r="D313" s="165" t="s">
        <v>259</v>
      </c>
      <c r="E313" s="165"/>
      <c r="F313" s="165">
        <v>70000</v>
      </c>
      <c r="G313" s="406"/>
      <c r="H313" s="407">
        <f t="shared" si="5"/>
        <v>34510</v>
      </c>
      <c r="I313" s="165" t="s">
        <v>123</v>
      </c>
      <c r="J313" s="165" t="s">
        <v>554</v>
      </c>
      <c r="K313" s="176"/>
    </row>
    <row r="314" spans="1:11" ht="15.6">
      <c r="A314" s="480">
        <v>46091</v>
      </c>
      <c r="B314" s="165" t="s">
        <v>1033</v>
      </c>
      <c r="C314" s="165" t="s">
        <v>539</v>
      </c>
      <c r="D314" s="165" t="s">
        <v>259</v>
      </c>
      <c r="E314" s="165"/>
      <c r="F314" s="165">
        <v>1500</v>
      </c>
      <c r="G314" s="406"/>
      <c r="H314" s="407">
        <f t="shared" si="5"/>
        <v>33010</v>
      </c>
      <c r="I314" s="165" t="s">
        <v>123</v>
      </c>
      <c r="J314" s="165" t="s">
        <v>550</v>
      </c>
      <c r="K314" s="176"/>
    </row>
    <row r="315" spans="1:11" ht="15.6">
      <c r="A315" s="480">
        <v>46091</v>
      </c>
      <c r="B315" s="165" t="s">
        <v>1033</v>
      </c>
      <c r="C315" s="165" t="s">
        <v>539</v>
      </c>
      <c r="D315" s="165" t="s">
        <v>259</v>
      </c>
      <c r="E315" s="165"/>
      <c r="F315" s="165">
        <v>1000</v>
      </c>
      <c r="G315" s="406"/>
      <c r="H315" s="407">
        <f t="shared" si="5"/>
        <v>32010</v>
      </c>
      <c r="I315" s="165" t="s">
        <v>123</v>
      </c>
      <c r="J315" s="165" t="s">
        <v>550</v>
      </c>
      <c r="K315" s="176"/>
    </row>
    <row r="316" spans="1:11" ht="15.6">
      <c r="A316" s="480">
        <v>46091</v>
      </c>
      <c r="B316" s="165" t="s">
        <v>543</v>
      </c>
      <c r="C316" s="165" t="s">
        <v>110</v>
      </c>
      <c r="D316" s="165" t="s">
        <v>259</v>
      </c>
      <c r="E316" s="165">
        <v>7500</v>
      </c>
      <c r="F316" s="165"/>
      <c r="G316" s="406"/>
      <c r="H316" s="407">
        <f t="shared" si="5"/>
        <v>39510</v>
      </c>
      <c r="I316" s="165" t="s">
        <v>123</v>
      </c>
      <c r="J316" s="165" t="s">
        <v>555</v>
      </c>
      <c r="K316" s="176"/>
    </row>
    <row r="317" spans="1:11" ht="15.6">
      <c r="A317" s="480">
        <v>46091</v>
      </c>
      <c r="B317" s="165" t="s">
        <v>543</v>
      </c>
      <c r="C317" s="165" t="s">
        <v>110</v>
      </c>
      <c r="D317" s="165" t="s">
        <v>544</v>
      </c>
      <c r="E317" s="165"/>
      <c r="F317" s="165">
        <v>7500</v>
      </c>
      <c r="G317" s="406"/>
      <c r="H317" s="407">
        <f t="shared" si="5"/>
        <v>32010</v>
      </c>
      <c r="I317" s="165" t="s">
        <v>123</v>
      </c>
      <c r="J317" s="165" t="s">
        <v>555</v>
      </c>
      <c r="K317" s="176"/>
    </row>
    <row r="318" spans="1:11" ht="15.6">
      <c r="A318" s="480">
        <v>46092</v>
      </c>
      <c r="B318" s="165" t="s">
        <v>537</v>
      </c>
      <c r="C318" s="165" t="s">
        <v>102</v>
      </c>
      <c r="D318" s="165" t="s">
        <v>259</v>
      </c>
      <c r="E318" s="165">
        <v>103000</v>
      </c>
      <c r="F318" s="165"/>
      <c r="G318" s="406"/>
      <c r="H318" s="407">
        <f t="shared" si="5"/>
        <v>135010</v>
      </c>
      <c r="I318" s="165" t="s">
        <v>123</v>
      </c>
      <c r="J318" s="165" t="s">
        <v>556</v>
      </c>
      <c r="K318" s="176"/>
    </row>
    <row r="319" spans="1:11" ht="15.6">
      <c r="A319" s="480">
        <v>46092</v>
      </c>
      <c r="B319" s="165" t="s">
        <v>1033</v>
      </c>
      <c r="C319" s="165" t="s">
        <v>539</v>
      </c>
      <c r="D319" s="165" t="s">
        <v>259</v>
      </c>
      <c r="E319" s="165"/>
      <c r="F319" s="165">
        <v>1000</v>
      </c>
      <c r="G319" s="406"/>
      <c r="H319" s="407">
        <f t="shared" si="5"/>
        <v>134010</v>
      </c>
      <c r="I319" s="165" t="s">
        <v>123</v>
      </c>
      <c r="J319" s="165" t="s">
        <v>550</v>
      </c>
      <c r="K319" s="176"/>
    </row>
    <row r="320" spans="1:11" ht="15.6">
      <c r="A320" s="480">
        <v>46092</v>
      </c>
      <c r="B320" s="165" t="s">
        <v>1033</v>
      </c>
      <c r="C320" s="165" t="s">
        <v>539</v>
      </c>
      <c r="D320" s="165" t="s">
        <v>259</v>
      </c>
      <c r="E320" s="165"/>
      <c r="F320" s="165">
        <v>1500</v>
      </c>
      <c r="G320" s="406"/>
      <c r="H320" s="407">
        <f t="shared" si="5"/>
        <v>132510</v>
      </c>
      <c r="I320" s="165" t="s">
        <v>123</v>
      </c>
      <c r="J320" s="165" t="s">
        <v>550</v>
      </c>
      <c r="K320" s="176"/>
    </row>
    <row r="321" spans="1:11" ht="15.6">
      <c r="A321" s="480">
        <v>46092</v>
      </c>
      <c r="B321" s="165" t="s">
        <v>1038</v>
      </c>
      <c r="C321" s="165" t="s">
        <v>539</v>
      </c>
      <c r="D321" s="165" t="s">
        <v>259</v>
      </c>
      <c r="E321" s="165"/>
      <c r="F321" s="165">
        <v>1500</v>
      </c>
      <c r="G321" s="406"/>
      <c r="H321" s="407">
        <f t="shared" si="5"/>
        <v>131010</v>
      </c>
      <c r="I321" s="165" t="s">
        <v>123</v>
      </c>
      <c r="J321" s="165" t="s">
        <v>550</v>
      </c>
      <c r="K321" s="176"/>
    </row>
    <row r="322" spans="1:11" ht="15.6">
      <c r="A322" s="480">
        <v>46092</v>
      </c>
      <c r="B322" s="165" t="s">
        <v>1033</v>
      </c>
      <c r="C322" s="165" t="s">
        <v>539</v>
      </c>
      <c r="D322" s="165" t="s">
        <v>259</v>
      </c>
      <c r="E322" s="165"/>
      <c r="F322" s="165">
        <v>1000</v>
      </c>
      <c r="G322" s="406"/>
      <c r="H322" s="407">
        <f t="shared" si="5"/>
        <v>130010</v>
      </c>
      <c r="I322" s="165" t="s">
        <v>123</v>
      </c>
      <c r="J322" s="165" t="s">
        <v>550</v>
      </c>
      <c r="K322" s="176"/>
    </row>
    <row r="323" spans="1:11" ht="15.6">
      <c r="A323" s="480">
        <v>46092</v>
      </c>
      <c r="B323" s="165" t="s">
        <v>1033</v>
      </c>
      <c r="C323" s="165" t="s">
        <v>539</v>
      </c>
      <c r="D323" s="165" t="s">
        <v>259</v>
      </c>
      <c r="E323" s="165"/>
      <c r="F323" s="165">
        <v>1000</v>
      </c>
      <c r="G323" s="406"/>
      <c r="H323" s="407">
        <f t="shared" si="5"/>
        <v>129010</v>
      </c>
      <c r="I323" s="165" t="s">
        <v>123</v>
      </c>
      <c r="J323" s="165" t="s">
        <v>550</v>
      </c>
      <c r="K323" s="176"/>
    </row>
    <row r="324" spans="1:11" ht="15.6">
      <c r="A324" s="480">
        <v>46092</v>
      </c>
      <c r="B324" s="165" t="s">
        <v>545</v>
      </c>
      <c r="C324" s="165" t="s">
        <v>541</v>
      </c>
      <c r="D324" s="165" t="s">
        <v>259</v>
      </c>
      <c r="E324" s="165"/>
      <c r="F324" s="165">
        <v>2000</v>
      </c>
      <c r="G324" s="406"/>
      <c r="H324" s="407">
        <f t="shared" si="5"/>
        <v>127010</v>
      </c>
      <c r="I324" s="165" t="s">
        <v>123</v>
      </c>
      <c r="J324" s="165" t="s">
        <v>551</v>
      </c>
      <c r="K324" s="176"/>
    </row>
    <row r="325" spans="1:11" ht="15.6">
      <c r="A325" s="480">
        <v>46093</v>
      </c>
      <c r="B325" s="165" t="s">
        <v>1033</v>
      </c>
      <c r="C325" s="165" t="s">
        <v>539</v>
      </c>
      <c r="D325" s="165" t="s">
        <v>259</v>
      </c>
      <c r="E325" s="165"/>
      <c r="F325" s="165">
        <v>1000</v>
      </c>
      <c r="G325" s="406"/>
      <c r="H325" s="407">
        <f t="shared" si="5"/>
        <v>126010</v>
      </c>
      <c r="I325" s="165" t="s">
        <v>123</v>
      </c>
      <c r="J325" s="165" t="s">
        <v>550</v>
      </c>
      <c r="K325" s="176"/>
    </row>
    <row r="326" spans="1:11" ht="15.6">
      <c r="A326" s="480">
        <v>46093</v>
      </c>
      <c r="B326" s="165" t="s">
        <v>1033</v>
      </c>
      <c r="C326" s="165" t="s">
        <v>539</v>
      </c>
      <c r="D326" s="165" t="s">
        <v>259</v>
      </c>
      <c r="E326" s="165"/>
      <c r="F326" s="165">
        <v>1500</v>
      </c>
      <c r="G326" s="406"/>
      <c r="H326" s="407">
        <f t="shared" si="5"/>
        <v>124510</v>
      </c>
      <c r="I326" s="165" t="s">
        <v>123</v>
      </c>
      <c r="J326" s="165" t="s">
        <v>550</v>
      </c>
      <c r="K326" s="176"/>
    </row>
    <row r="327" spans="1:11" ht="15.6">
      <c r="A327" s="480">
        <v>46093</v>
      </c>
      <c r="B327" s="165" t="s">
        <v>1033</v>
      </c>
      <c r="C327" s="165" t="s">
        <v>539</v>
      </c>
      <c r="D327" s="165" t="s">
        <v>259</v>
      </c>
      <c r="E327" s="165"/>
      <c r="F327" s="165">
        <v>1000</v>
      </c>
      <c r="G327" s="406"/>
      <c r="H327" s="407">
        <f t="shared" si="5"/>
        <v>123510</v>
      </c>
      <c r="I327" s="165" t="s">
        <v>123</v>
      </c>
      <c r="J327" s="165" t="s">
        <v>550</v>
      </c>
      <c r="K327" s="176"/>
    </row>
    <row r="328" spans="1:11" ht="15.6">
      <c r="A328" s="480">
        <v>46093</v>
      </c>
      <c r="B328" s="165" t="s">
        <v>1033</v>
      </c>
      <c r="C328" s="165" t="s">
        <v>539</v>
      </c>
      <c r="D328" s="165" t="s">
        <v>259</v>
      </c>
      <c r="E328" s="165"/>
      <c r="F328" s="165">
        <v>1000</v>
      </c>
      <c r="G328" s="406"/>
      <c r="H328" s="407">
        <f t="shared" si="5"/>
        <v>122510</v>
      </c>
      <c r="I328" s="165" t="s">
        <v>123</v>
      </c>
      <c r="J328" s="165" t="s">
        <v>550</v>
      </c>
      <c r="K328" s="176"/>
    </row>
    <row r="329" spans="1:11" ht="15.6">
      <c r="A329" s="480">
        <v>46093</v>
      </c>
      <c r="B329" s="165" t="s">
        <v>1033</v>
      </c>
      <c r="C329" s="165" t="s">
        <v>539</v>
      </c>
      <c r="D329" s="165" t="s">
        <v>259</v>
      </c>
      <c r="E329" s="165"/>
      <c r="F329" s="165">
        <v>1000</v>
      </c>
      <c r="G329" s="406"/>
      <c r="H329" s="407">
        <f t="shared" si="5"/>
        <v>121510</v>
      </c>
      <c r="I329" s="165" t="s">
        <v>123</v>
      </c>
      <c r="J329" s="165" t="s">
        <v>550</v>
      </c>
      <c r="K329" s="176"/>
    </row>
    <row r="330" spans="1:11" ht="15.6">
      <c r="A330" s="480">
        <v>46093</v>
      </c>
      <c r="B330" s="165" t="s">
        <v>545</v>
      </c>
      <c r="C330" s="165" t="s">
        <v>541</v>
      </c>
      <c r="D330" s="165" t="s">
        <v>259</v>
      </c>
      <c r="E330" s="165"/>
      <c r="F330" s="165">
        <v>2000</v>
      </c>
      <c r="G330" s="406"/>
      <c r="H330" s="407">
        <f t="shared" si="5"/>
        <v>119510</v>
      </c>
      <c r="I330" s="165" t="s">
        <v>123</v>
      </c>
      <c r="J330" s="165" t="s">
        <v>551</v>
      </c>
      <c r="K330" s="176"/>
    </row>
    <row r="331" spans="1:11" ht="15.6">
      <c r="A331" s="480">
        <v>46094</v>
      </c>
      <c r="B331" s="165" t="s">
        <v>1051</v>
      </c>
      <c r="C331" s="165" t="s">
        <v>542</v>
      </c>
      <c r="D331" s="165" t="s">
        <v>259</v>
      </c>
      <c r="E331" s="165"/>
      <c r="F331" s="165">
        <v>30000</v>
      </c>
      <c r="G331" s="406"/>
      <c r="H331" s="407">
        <f t="shared" si="5"/>
        <v>89510</v>
      </c>
      <c r="I331" s="165" t="s">
        <v>123</v>
      </c>
      <c r="J331" s="165" t="s">
        <v>557</v>
      </c>
      <c r="K331" s="176"/>
    </row>
    <row r="332" spans="1:11" ht="15.6">
      <c r="A332" s="480">
        <v>46094</v>
      </c>
      <c r="B332" s="165" t="s">
        <v>1028</v>
      </c>
      <c r="C332" s="165" t="s">
        <v>402</v>
      </c>
      <c r="D332" s="165" t="s">
        <v>259</v>
      </c>
      <c r="E332" s="165"/>
      <c r="F332" s="165">
        <v>3500</v>
      </c>
      <c r="G332" s="406"/>
      <c r="H332" s="407">
        <f t="shared" si="5"/>
        <v>86010</v>
      </c>
      <c r="I332" s="165" t="s">
        <v>123</v>
      </c>
      <c r="J332" s="165" t="s">
        <v>558</v>
      </c>
      <c r="K332" s="176"/>
    </row>
    <row r="333" spans="1:11" ht="15.6">
      <c r="A333" s="480">
        <v>46094</v>
      </c>
      <c r="B333" s="165" t="s">
        <v>1033</v>
      </c>
      <c r="C333" s="165" t="s">
        <v>539</v>
      </c>
      <c r="D333" s="165" t="s">
        <v>259</v>
      </c>
      <c r="E333" s="165"/>
      <c r="F333" s="165">
        <v>1000</v>
      </c>
      <c r="G333" s="406"/>
      <c r="H333" s="407">
        <f t="shared" si="5"/>
        <v>85010</v>
      </c>
      <c r="I333" s="165" t="s">
        <v>123</v>
      </c>
      <c r="J333" s="165" t="s">
        <v>550</v>
      </c>
      <c r="K333" s="176"/>
    </row>
    <row r="334" spans="1:11" ht="15.6">
      <c r="A334" s="480">
        <v>46094</v>
      </c>
      <c r="B334" s="165" t="s">
        <v>1033</v>
      </c>
      <c r="C334" s="165" t="s">
        <v>539</v>
      </c>
      <c r="D334" s="165" t="s">
        <v>259</v>
      </c>
      <c r="E334" s="165"/>
      <c r="F334" s="165">
        <v>500</v>
      </c>
      <c r="G334" s="406"/>
      <c r="H334" s="407">
        <f t="shared" si="5"/>
        <v>84510</v>
      </c>
      <c r="I334" s="165" t="s">
        <v>123</v>
      </c>
      <c r="J334" s="165" t="s">
        <v>550</v>
      </c>
      <c r="K334" s="176"/>
    </row>
    <row r="335" spans="1:11" ht="15.6">
      <c r="A335" s="480">
        <v>46094</v>
      </c>
      <c r="B335" s="165" t="s">
        <v>1052</v>
      </c>
      <c r="C335" s="165" t="s">
        <v>539</v>
      </c>
      <c r="D335" s="165" t="s">
        <v>259</v>
      </c>
      <c r="E335" s="165"/>
      <c r="F335" s="165">
        <v>500</v>
      </c>
      <c r="G335" s="406"/>
      <c r="H335" s="407">
        <f t="shared" si="5"/>
        <v>84010</v>
      </c>
      <c r="I335" s="165" t="s">
        <v>123</v>
      </c>
      <c r="J335" s="165" t="s">
        <v>550</v>
      </c>
      <c r="K335" s="176"/>
    </row>
    <row r="336" spans="1:11" ht="15.6">
      <c r="A336" s="480">
        <v>46094</v>
      </c>
      <c r="B336" s="165" t="s">
        <v>1053</v>
      </c>
      <c r="C336" s="165" t="s">
        <v>539</v>
      </c>
      <c r="D336" s="165" t="s">
        <v>259</v>
      </c>
      <c r="E336" s="165"/>
      <c r="F336" s="165">
        <v>500</v>
      </c>
      <c r="G336" s="406"/>
      <c r="H336" s="407">
        <f t="shared" si="5"/>
        <v>83510</v>
      </c>
      <c r="I336" s="165" t="s">
        <v>123</v>
      </c>
      <c r="J336" s="165" t="s">
        <v>550</v>
      </c>
      <c r="K336" s="176"/>
    </row>
    <row r="337" spans="1:11" ht="15.6">
      <c r="A337" s="480">
        <v>46094</v>
      </c>
      <c r="B337" s="165" t="s">
        <v>1053</v>
      </c>
      <c r="C337" s="165" t="s">
        <v>539</v>
      </c>
      <c r="D337" s="165" t="s">
        <v>259</v>
      </c>
      <c r="E337" s="165"/>
      <c r="F337" s="165">
        <v>500</v>
      </c>
      <c r="G337" s="406"/>
      <c r="H337" s="407">
        <f t="shared" si="5"/>
        <v>83010</v>
      </c>
      <c r="I337" s="165" t="s">
        <v>123</v>
      </c>
      <c r="J337" s="165" t="s">
        <v>550</v>
      </c>
      <c r="K337" s="176"/>
    </row>
    <row r="338" spans="1:11" ht="15.6">
      <c r="A338" s="480">
        <v>46094</v>
      </c>
      <c r="B338" s="165" t="s">
        <v>540</v>
      </c>
      <c r="C338" s="165" t="s">
        <v>541</v>
      </c>
      <c r="D338" s="165" t="s">
        <v>259</v>
      </c>
      <c r="E338" s="165"/>
      <c r="F338" s="165">
        <v>2000</v>
      </c>
      <c r="G338" s="406"/>
      <c r="H338" s="407">
        <f t="shared" si="5"/>
        <v>81010</v>
      </c>
      <c r="I338" s="165" t="s">
        <v>123</v>
      </c>
      <c r="J338" s="165" t="s">
        <v>551</v>
      </c>
      <c r="K338" s="176"/>
    </row>
    <row r="339" spans="1:11" ht="15.6">
      <c r="A339" s="480">
        <v>46095</v>
      </c>
      <c r="B339" s="165" t="s">
        <v>1051</v>
      </c>
      <c r="C339" s="165" t="s">
        <v>542</v>
      </c>
      <c r="D339" s="165" t="s">
        <v>259</v>
      </c>
      <c r="E339" s="165"/>
      <c r="F339" s="165">
        <v>10000</v>
      </c>
      <c r="G339" s="406"/>
      <c r="H339" s="407">
        <f t="shared" si="5"/>
        <v>71010</v>
      </c>
      <c r="I339" s="165" t="s">
        <v>123</v>
      </c>
      <c r="J339" s="165" t="s">
        <v>559</v>
      </c>
      <c r="K339" s="176"/>
    </row>
    <row r="340" spans="1:11" ht="15.6">
      <c r="A340" s="480">
        <v>46095</v>
      </c>
      <c r="B340" s="165" t="s">
        <v>1043</v>
      </c>
      <c r="C340" s="165" t="s">
        <v>402</v>
      </c>
      <c r="D340" s="165" t="s">
        <v>259</v>
      </c>
      <c r="E340" s="165"/>
      <c r="F340" s="165">
        <v>3500</v>
      </c>
      <c r="G340" s="406"/>
      <c r="H340" s="407">
        <f t="shared" si="5"/>
        <v>67510</v>
      </c>
      <c r="I340" s="165" t="s">
        <v>123</v>
      </c>
      <c r="J340" s="165" t="s">
        <v>560</v>
      </c>
      <c r="K340" s="176"/>
    </row>
    <row r="341" spans="1:11" ht="15.6">
      <c r="A341" s="480">
        <v>46095</v>
      </c>
      <c r="B341" s="165" t="s">
        <v>1053</v>
      </c>
      <c r="C341" s="165" t="s">
        <v>539</v>
      </c>
      <c r="D341" s="165" t="s">
        <v>259</v>
      </c>
      <c r="E341" s="165"/>
      <c r="F341" s="165">
        <v>500</v>
      </c>
      <c r="G341" s="406"/>
      <c r="H341" s="407">
        <f t="shared" si="5"/>
        <v>67010</v>
      </c>
      <c r="I341" s="165" t="s">
        <v>123</v>
      </c>
      <c r="J341" s="165" t="s">
        <v>550</v>
      </c>
      <c r="K341" s="176"/>
    </row>
    <row r="342" spans="1:11" ht="15.6">
      <c r="A342" s="480">
        <v>46095</v>
      </c>
      <c r="B342" s="165" t="s">
        <v>1038</v>
      </c>
      <c r="C342" s="165" t="s">
        <v>539</v>
      </c>
      <c r="D342" s="165" t="s">
        <v>259</v>
      </c>
      <c r="E342" s="165"/>
      <c r="F342" s="165">
        <v>1000</v>
      </c>
      <c r="G342" s="406"/>
      <c r="H342" s="407">
        <f t="shared" si="5"/>
        <v>66010</v>
      </c>
      <c r="I342" s="165" t="s">
        <v>123</v>
      </c>
      <c r="J342" s="165" t="s">
        <v>550</v>
      </c>
      <c r="K342" s="176"/>
    </row>
    <row r="343" spans="1:11" ht="15.6">
      <c r="A343" s="480">
        <v>46095</v>
      </c>
      <c r="B343" s="165" t="s">
        <v>1033</v>
      </c>
      <c r="C343" s="165" t="s">
        <v>539</v>
      </c>
      <c r="D343" s="165" t="s">
        <v>259</v>
      </c>
      <c r="E343" s="165"/>
      <c r="F343" s="165">
        <v>1000</v>
      </c>
      <c r="G343" s="406"/>
      <c r="H343" s="407">
        <f t="shared" si="5"/>
        <v>65010</v>
      </c>
      <c r="I343" s="165" t="s">
        <v>123</v>
      </c>
      <c r="J343" s="165" t="s">
        <v>550</v>
      </c>
      <c r="K343" s="176"/>
    </row>
    <row r="344" spans="1:11" ht="15.6">
      <c r="A344" s="480">
        <v>46095</v>
      </c>
      <c r="B344" s="165" t="s">
        <v>1033</v>
      </c>
      <c r="C344" s="165" t="s">
        <v>539</v>
      </c>
      <c r="D344" s="165" t="s">
        <v>259</v>
      </c>
      <c r="E344" s="165"/>
      <c r="F344" s="165">
        <v>1000</v>
      </c>
      <c r="G344" s="406"/>
      <c r="H344" s="407">
        <f t="shared" si="5"/>
        <v>64010</v>
      </c>
      <c r="I344" s="165" t="s">
        <v>123</v>
      </c>
      <c r="J344" s="165" t="s">
        <v>550</v>
      </c>
      <c r="K344" s="176"/>
    </row>
    <row r="345" spans="1:11" ht="15.6">
      <c r="A345" s="480">
        <v>46095</v>
      </c>
      <c r="B345" s="165" t="s">
        <v>1033</v>
      </c>
      <c r="C345" s="165" t="s">
        <v>539</v>
      </c>
      <c r="D345" s="165" t="s">
        <v>259</v>
      </c>
      <c r="E345" s="165"/>
      <c r="F345" s="165">
        <v>1000</v>
      </c>
      <c r="G345" s="406"/>
      <c r="H345" s="407">
        <f t="shared" si="5"/>
        <v>63010</v>
      </c>
      <c r="I345" s="165" t="s">
        <v>123</v>
      </c>
      <c r="J345" s="165" t="s">
        <v>550</v>
      </c>
      <c r="K345" s="176"/>
    </row>
    <row r="346" spans="1:11" ht="15.6">
      <c r="A346" s="480">
        <v>46095</v>
      </c>
      <c r="B346" s="165" t="s">
        <v>1033</v>
      </c>
      <c r="C346" s="165" t="s">
        <v>539</v>
      </c>
      <c r="D346" s="165" t="s">
        <v>259</v>
      </c>
      <c r="E346" s="165"/>
      <c r="F346" s="165">
        <v>1000</v>
      </c>
      <c r="G346" s="406"/>
      <c r="H346" s="407">
        <f t="shared" si="5"/>
        <v>62010</v>
      </c>
      <c r="I346" s="165" t="s">
        <v>123</v>
      </c>
      <c r="J346" s="165" t="s">
        <v>550</v>
      </c>
      <c r="K346" s="176"/>
    </row>
    <row r="347" spans="1:11" ht="15.6">
      <c r="A347" s="480">
        <v>46095</v>
      </c>
      <c r="B347" s="165" t="s">
        <v>540</v>
      </c>
      <c r="C347" s="165" t="s">
        <v>541</v>
      </c>
      <c r="D347" s="165" t="s">
        <v>259</v>
      </c>
      <c r="E347" s="165"/>
      <c r="F347" s="165">
        <v>2000</v>
      </c>
      <c r="G347" s="406"/>
      <c r="H347" s="407">
        <f t="shared" si="5"/>
        <v>60010</v>
      </c>
      <c r="I347" s="165" t="s">
        <v>123</v>
      </c>
      <c r="J347" s="165" t="s">
        <v>551</v>
      </c>
      <c r="K347" s="176"/>
    </row>
    <row r="348" spans="1:11" ht="15.6">
      <c r="A348" s="480">
        <v>46097</v>
      </c>
      <c r="B348" s="165" t="s">
        <v>1028</v>
      </c>
      <c r="C348" s="165" t="s">
        <v>402</v>
      </c>
      <c r="D348" s="165" t="s">
        <v>259</v>
      </c>
      <c r="E348" s="165"/>
      <c r="F348" s="165">
        <v>2000</v>
      </c>
      <c r="G348" s="406"/>
      <c r="H348" s="407">
        <f t="shared" si="5"/>
        <v>58010</v>
      </c>
      <c r="I348" s="165" t="s">
        <v>123</v>
      </c>
      <c r="J348" s="165" t="s">
        <v>561</v>
      </c>
      <c r="K348" s="176"/>
    </row>
    <row r="349" spans="1:11" ht="15.6">
      <c r="A349" s="480">
        <v>46097</v>
      </c>
      <c r="B349" s="165" t="s">
        <v>1028</v>
      </c>
      <c r="C349" s="165" t="s">
        <v>402</v>
      </c>
      <c r="D349" s="165" t="s">
        <v>259</v>
      </c>
      <c r="E349" s="165"/>
      <c r="F349" s="165">
        <v>2000</v>
      </c>
      <c r="G349" s="406"/>
      <c r="H349" s="407">
        <f t="shared" si="5"/>
        <v>56010</v>
      </c>
      <c r="I349" s="165" t="s">
        <v>123</v>
      </c>
      <c r="J349" s="165" t="s">
        <v>562</v>
      </c>
      <c r="K349" s="176"/>
    </row>
    <row r="350" spans="1:11" ht="15.6">
      <c r="A350" s="480">
        <v>46097</v>
      </c>
      <c r="B350" s="165" t="s">
        <v>1033</v>
      </c>
      <c r="C350" s="165" t="s">
        <v>539</v>
      </c>
      <c r="D350" s="165" t="s">
        <v>259</v>
      </c>
      <c r="E350" s="165"/>
      <c r="F350" s="165">
        <v>500</v>
      </c>
      <c r="G350" s="406"/>
      <c r="H350" s="407">
        <f t="shared" si="5"/>
        <v>55510</v>
      </c>
      <c r="I350" s="165" t="s">
        <v>123</v>
      </c>
      <c r="J350" s="165" t="s">
        <v>550</v>
      </c>
      <c r="K350" s="176"/>
    </row>
    <row r="351" spans="1:11" ht="15.6">
      <c r="A351" s="480">
        <v>46097</v>
      </c>
      <c r="B351" s="165" t="s">
        <v>1053</v>
      </c>
      <c r="C351" s="165" t="s">
        <v>539</v>
      </c>
      <c r="D351" s="165" t="s">
        <v>259</v>
      </c>
      <c r="E351" s="165"/>
      <c r="F351" s="165">
        <v>500</v>
      </c>
      <c r="G351" s="406"/>
      <c r="H351" s="407">
        <f t="shared" si="5"/>
        <v>55010</v>
      </c>
      <c r="I351" s="165" t="s">
        <v>123</v>
      </c>
      <c r="J351" s="165" t="s">
        <v>550</v>
      </c>
      <c r="K351" s="176"/>
    </row>
    <row r="352" spans="1:11" ht="15.6">
      <c r="A352" s="480">
        <v>46097</v>
      </c>
      <c r="B352" s="165" t="s">
        <v>1053</v>
      </c>
      <c r="C352" s="165" t="s">
        <v>539</v>
      </c>
      <c r="D352" s="165" t="s">
        <v>259</v>
      </c>
      <c r="E352" s="165"/>
      <c r="F352" s="165">
        <v>500</v>
      </c>
      <c r="G352" s="406"/>
      <c r="H352" s="407">
        <f t="shared" si="5"/>
        <v>54510</v>
      </c>
      <c r="I352" s="165" t="s">
        <v>123</v>
      </c>
      <c r="J352" s="165" t="s">
        <v>550</v>
      </c>
      <c r="K352" s="176"/>
    </row>
    <row r="353" spans="1:11" ht="15.6">
      <c r="A353" s="480">
        <v>46097</v>
      </c>
      <c r="B353" s="165" t="s">
        <v>1053</v>
      </c>
      <c r="C353" s="165" t="s">
        <v>539</v>
      </c>
      <c r="D353" s="165" t="s">
        <v>259</v>
      </c>
      <c r="E353" s="165"/>
      <c r="F353" s="165">
        <v>500</v>
      </c>
      <c r="G353" s="406"/>
      <c r="H353" s="407">
        <f t="shared" si="5"/>
        <v>54010</v>
      </c>
      <c r="I353" s="165" t="s">
        <v>123</v>
      </c>
      <c r="J353" s="165" t="s">
        <v>550</v>
      </c>
      <c r="K353" s="176"/>
    </row>
    <row r="354" spans="1:11" ht="15.6">
      <c r="A354" s="480">
        <v>46097</v>
      </c>
      <c r="B354" s="165" t="s">
        <v>1038</v>
      </c>
      <c r="C354" s="165" t="s">
        <v>539</v>
      </c>
      <c r="D354" s="165" t="s">
        <v>259</v>
      </c>
      <c r="E354" s="165"/>
      <c r="F354" s="165">
        <v>500</v>
      </c>
      <c r="G354" s="406"/>
      <c r="H354" s="407">
        <f t="shared" ref="H354:H408" si="6">H353+E354-F354</f>
        <v>53510</v>
      </c>
      <c r="I354" s="165" t="s">
        <v>123</v>
      </c>
      <c r="J354" s="165" t="s">
        <v>550</v>
      </c>
      <c r="K354" s="176"/>
    </row>
    <row r="355" spans="1:11" ht="15.6">
      <c r="A355" s="480">
        <v>46097</v>
      </c>
      <c r="B355" s="165" t="s">
        <v>540</v>
      </c>
      <c r="C355" s="165" t="s">
        <v>541</v>
      </c>
      <c r="D355" s="165" t="s">
        <v>259</v>
      </c>
      <c r="E355" s="165"/>
      <c r="F355" s="165">
        <v>1000</v>
      </c>
      <c r="G355" s="406"/>
      <c r="H355" s="407">
        <f t="shared" si="6"/>
        <v>52510</v>
      </c>
      <c r="I355" s="165" t="s">
        <v>123</v>
      </c>
      <c r="J355" s="165" t="s">
        <v>551</v>
      </c>
      <c r="K355" s="176"/>
    </row>
    <row r="356" spans="1:11" ht="15.6">
      <c r="A356" s="480">
        <v>46098</v>
      </c>
      <c r="B356" s="165" t="s">
        <v>1051</v>
      </c>
      <c r="C356" s="165" t="s">
        <v>542</v>
      </c>
      <c r="D356" s="165" t="s">
        <v>259</v>
      </c>
      <c r="E356" s="165"/>
      <c r="F356" s="165">
        <v>30000</v>
      </c>
      <c r="G356" s="406"/>
      <c r="H356" s="407">
        <f t="shared" si="6"/>
        <v>22510</v>
      </c>
      <c r="I356" s="165" t="s">
        <v>123</v>
      </c>
      <c r="J356" s="165" t="s">
        <v>563</v>
      </c>
      <c r="K356" s="176"/>
    </row>
    <row r="357" spans="1:11" ht="15.6">
      <c r="A357" s="480">
        <v>46098</v>
      </c>
      <c r="B357" s="165" t="s">
        <v>1028</v>
      </c>
      <c r="C357" s="165" t="s">
        <v>402</v>
      </c>
      <c r="D357" s="165" t="s">
        <v>259</v>
      </c>
      <c r="E357" s="165"/>
      <c r="F357" s="165">
        <v>9000</v>
      </c>
      <c r="G357" s="406"/>
      <c r="H357" s="407">
        <f t="shared" si="6"/>
        <v>13510</v>
      </c>
      <c r="I357" s="165" t="s">
        <v>123</v>
      </c>
      <c r="J357" s="165" t="s">
        <v>564</v>
      </c>
      <c r="K357" s="176"/>
    </row>
    <row r="358" spans="1:11" ht="15.6">
      <c r="A358" s="480">
        <v>46098</v>
      </c>
      <c r="B358" s="165" t="s">
        <v>1033</v>
      </c>
      <c r="C358" s="165" t="s">
        <v>539</v>
      </c>
      <c r="D358" s="165" t="s">
        <v>259</v>
      </c>
      <c r="E358" s="165"/>
      <c r="F358" s="165">
        <v>1000</v>
      </c>
      <c r="G358" s="406"/>
      <c r="H358" s="407">
        <f t="shared" si="6"/>
        <v>12510</v>
      </c>
      <c r="I358" s="165" t="s">
        <v>123</v>
      </c>
      <c r="J358" s="165" t="s">
        <v>550</v>
      </c>
      <c r="K358" s="176"/>
    </row>
    <row r="359" spans="1:11" ht="15.6">
      <c r="A359" s="480">
        <v>46098</v>
      </c>
      <c r="B359" s="165" t="s">
        <v>1033</v>
      </c>
      <c r="C359" s="165" t="s">
        <v>539</v>
      </c>
      <c r="D359" s="165" t="s">
        <v>259</v>
      </c>
      <c r="E359" s="165"/>
      <c r="F359" s="165">
        <v>1500</v>
      </c>
      <c r="G359" s="406"/>
      <c r="H359" s="407">
        <f t="shared" si="6"/>
        <v>11010</v>
      </c>
      <c r="I359" s="165" t="s">
        <v>123</v>
      </c>
      <c r="J359" s="165" t="s">
        <v>550</v>
      </c>
      <c r="K359" s="176"/>
    </row>
    <row r="360" spans="1:11" ht="15.6">
      <c r="A360" s="480">
        <v>46099</v>
      </c>
      <c r="B360" s="165" t="s">
        <v>537</v>
      </c>
      <c r="C360" s="165" t="s">
        <v>102</v>
      </c>
      <c r="D360" s="165" t="s">
        <v>259</v>
      </c>
      <c r="E360" s="165">
        <v>100000</v>
      </c>
      <c r="F360" s="165"/>
      <c r="G360" s="406"/>
      <c r="H360" s="407">
        <f t="shared" si="6"/>
        <v>111010</v>
      </c>
      <c r="I360" s="165" t="s">
        <v>123</v>
      </c>
      <c r="J360" s="165" t="s">
        <v>565</v>
      </c>
      <c r="K360" s="176"/>
    </row>
    <row r="361" spans="1:11" ht="15.6">
      <c r="A361" s="480">
        <v>46099</v>
      </c>
      <c r="B361" s="165" t="s">
        <v>1028</v>
      </c>
      <c r="C361" s="165" t="s">
        <v>402</v>
      </c>
      <c r="D361" s="165" t="s">
        <v>259</v>
      </c>
      <c r="E361" s="165"/>
      <c r="F361" s="165">
        <v>12000</v>
      </c>
      <c r="G361" s="406"/>
      <c r="H361" s="407">
        <f t="shared" si="6"/>
        <v>99010</v>
      </c>
      <c r="I361" s="165" t="s">
        <v>123</v>
      </c>
      <c r="J361" s="165" t="s">
        <v>566</v>
      </c>
      <c r="K361" s="176"/>
    </row>
    <row r="362" spans="1:11" ht="15.6">
      <c r="A362" s="480">
        <v>46099</v>
      </c>
      <c r="B362" s="165" t="s">
        <v>546</v>
      </c>
      <c r="C362" s="165" t="s">
        <v>110</v>
      </c>
      <c r="D362" s="165" t="s">
        <v>259</v>
      </c>
      <c r="E362" s="165">
        <v>7500</v>
      </c>
      <c r="F362" s="165"/>
      <c r="G362" s="406"/>
      <c r="H362" s="407">
        <f t="shared" si="6"/>
        <v>106510</v>
      </c>
      <c r="I362" s="165" t="s">
        <v>123</v>
      </c>
      <c r="J362" s="165" t="s">
        <v>567</v>
      </c>
      <c r="K362" s="176"/>
    </row>
    <row r="363" spans="1:11" ht="15.6">
      <c r="A363" s="480">
        <v>46099</v>
      </c>
      <c r="B363" s="165" t="s">
        <v>546</v>
      </c>
      <c r="C363" s="165" t="s">
        <v>110</v>
      </c>
      <c r="D363" s="165" t="s">
        <v>544</v>
      </c>
      <c r="E363" s="165"/>
      <c r="F363" s="165">
        <v>7500</v>
      </c>
      <c r="G363" s="406"/>
      <c r="H363" s="407">
        <f t="shared" si="6"/>
        <v>99010</v>
      </c>
      <c r="I363" s="165" t="s">
        <v>123</v>
      </c>
      <c r="J363" s="165" t="s">
        <v>567</v>
      </c>
      <c r="K363" s="176"/>
    </row>
    <row r="364" spans="1:11" ht="15.6">
      <c r="A364" s="480">
        <v>46100</v>
      </c>
      <c r="B364" s="165" t="s">
        <v>1033</v>
      </c>
      <c r="C364" s="165" t="s">
        <v>539</v>
      </c>
      <c r="D364" s="165" t="s">
        <v>259</v>
      </c>
      <c r="E364" s="165"/>
      <c r="F364" s="165">
        <v>1500</v>
      </c>
      <c r="G364" s="406"/>
      <c r="H364" s="407">
        <f t="shared" si="6"/>
        <v>97510</v>
      </c>
      <c r="I364" s="165" t="s">
        <v>123</v>
      </c>
      <c r="J364" s="165" t="s">
        <v>550</v>
      </c>
      <c r="K364" s="176"/>
    </row>
    <row r="365" spans="1:11" ht="15.6">
      <c r="A365" s="480">
        <v>46100</v>
      </c>
      <c r="B365" s="165" t="s">
        <v>1038</v>
      </c>
      <c r="C365" s="165" t="s">
        <v>539</v>
      </c>
      <c r="D365" s="165" t="s">
        <v>259</v>
      </c>
      <c r="E365" s="165"/>
      <c r="F365" s="165">
        <v>500</v>
      </c>
      <c r="G365" s="406"/>
      <c r="H365" s="407">
        <f t="shared" si="6"/>
        <v>97010</v>
      </c>
      <c r="I365" s="165" t="s">
        <v>123</v>
      </c>
      <c r="J365" s="165" t="s">
        <v>550</v>
      </c>
      <c r="K365" s="176"/>
    </row>
    <row r="366" spans="1:11" ht="15.6">
      <c r="A366" s="480">
        <v>46100</v>
      </c>
      <c r="B366" s="165" t="s">
        <v>1065</v>
      </c>
      <c r="C366" s="165" t="s">
        <v>542</v>
      </c>
      <c r="D366" s="165" t="s">
        <v>259</v>
      </c>
      <c r="E366" s="165"/>
      <c r="F366" s="165">
        <v>170000</v>
      </c>
      <c r="G366" s="406"/>
      <c r="H366" s="407">
        <f t="shared" si="6"/>
        <v>-72990</v>
      </c>
      <c r="I366" s="165" t="s">
        <v>123</v>
      </c>
      <c r="J366" s="165" t="s">
        <v>568</v>
      </c>
      <c r="K366" s="176"/>
    </row>
    <row r="367" spans="1:11" ht="15.6">
      <c r="A367" s="480">
        <v>46101</v>
      </c>
      <c r="B367" s="165" t="s">
        <v>1033</v>
      </c>
      <c r="C367" s="165" t="s">
        <v>539</v>
      </c>
      <c r="D367" s="165" t="s">
        <v>259</v>
      </c>
      <c r="E367" s="165"/>
      <c r="F367" s="165">
        <v>500</v>
      </c>
      <c r="G367" s="406"/>
      <c r="H367" s="407">
        <f t="shared" si="6"/>
        <v>-73490</v>
      </c>
      <c r="I367" s="165" t="s">
        <v>123</v>
      </c>
      <c r="J367" s="165" t="s">
        <v>550</v>
      </c>
      <c r="K367" s="176"/>
    </row>
    <row r="368" spans="1:11" ht="15.6">
      <c r="A368" s="480">
        <v>46101</v>
      </c>
      <c r="B368" s="165" t="s">
        <v>1066</v>
      </c>
      <c r="C368" s="165" t="s">
        <v>539</v>
      </c>
      <c r="D368" s="165" t="s">
        <v>259</v>
      </c>
      <c r="E368" s="165"/>
      <c r="F368" s="165">
        <v>1000</v>
      </c>
      <c r="G368" s="406"/>
      <c r="H368" s="407">
        <f t="shared" si="6"/>
        <v>-74490</v>
      </c>
      <c r="I368" s="165" t="s">
        <v>123</v>
      </c>
      <c r="J368" s="165" t="s">
        <v>550</v>
      </c>
      <c r="K368" s="176"/>
    </row>
    <row r="369" spans="1:11" ht="15.6">
      <c r="A369" s="480">
        <v>46101</v>
      </c>
      <c r="B369" s="165" t="s">
        <v>1077</v>
      </c>
      <c r="C369" s="165" t="s">
        <v>402</v>
      </c>
      <c r="D369" s="165" t="s">
        <v>259</v>
      </c>
      <c r="E369" s="165"/>
      <c r="F369" s="165">
        <v>2000</v>
      </c>
      <c r="G369" s="406"/>
      <c r="H369" s="407">
        <f t="shared" si="6"/>
        <v>-76490</v>
      </c>
      <c r="I369" s="165" t="s">
        <v>123</v>
      </c>
      <c r="J369" s="165" t="s">
        <v>569</v>
      </c>
      <c r="K369" s="176"/>
    </row>
    <row r="370" spans="1:11" ht="15.6">
      <c r="A370" s="480">
        <v>46101</v>
      </c>
      <c r="B370" s="165" t="s">
        <v>1053</v>
      </c>
      <c r="C370" s="165" t="s">
        <v>539</v>
      </c>
      <c r="D370" s="165" t="s">
        <v>259</v>
      </c>
      <c r="E370" s="165"/>
      <c r="F370" s="165">
        <v>500</v>
      </c>
      <c r="G370" s="406"/>
      <c r="H370" s="407">
        <f t="shared" si="6"/>
        <v>-76990</v>
      </c>
      <c r="I370" s="165" t="s">
        <v>123</v>
      </c>
      <c r="J370" s="165" t="s">
        <v>550</v>
      </c>
      <c r="K370" s="176"/>
    </row>
    <row r="371" spans="1:11" ht="15.6">
      <c r="A371" s="480">
        <v>46101</v>
      </c>
      <c r="B371" s="165" t="s">
        <v>1053</v>
      </c>
      <c r="C371" s="165" t="s">
        <v>539</v>
      </c>
      <c r="D371" s="165" t="s">
        <v>259</v>
      </c>
      <c r="E371" s="165"/>
      <c r="F371" s="165">
        <v>500</v>
      </c>
      <c r="G371" s="406"/>
      <c r="H371" s="407">
        <f t="shared" si="6"/>
        <v>-77490</v>
      </c>
      <c r="I371" s="165" t="s">
        <v>123</v>
      </c>
      <c r="J371" s="165" t="s">
        <v>550</v>
      </c>
      <c r="K371" s="176"/>
    </row>
    <row r="372" spans="1:11" ht="15.6">
      <c r="A372" s="480">
        <v>46101</v>
      </c>
      <c r="B372" s="165" t="s">
        <v>1053</v>
      </c>
      <c r="C372" s="165" t="s">
        <v>539</v>
      </c>
      <c r="D372" s="165" t="s">
        <v>259</v>
      </c>
      <c r="E372" s="165"/>
      <c r="F372" s="165">
        <v>500</v>
      </c>
      <c r="G372" s="406"/>
      <c r="H372" s="407">
        <f t="shared" si="6"/>
        <v>-77990</v>
      </c>
      <c r="I372" s="165" t="s">
        <v>123</v>
      </c>
      <c r="J372" s="165" t="s">
        <v>550</v>
      </c>
      <c r="K372" s="176"/>
    </row>
    <row r="373" spans="1:11" ht="15.6">
      <c r="A373" s="480">
        <v>46101</v>
      </c>
      <c r="B373" s="165" t="s">
        <v>1052</v>
      </c>
      <c r="C373" s="165" t="s">
        <v>539</v>
      </c>
      <c r="D373" s="165" t="s">
        <v>259</v>
      </c>
      <c r="E373" s="165"/>
      <c r="F373" s="165">
        <v>500</v>
      </c>
      <c r="G373" s="406"/>
      <c r="H373" s="407">
        <f t="shared" si="6"/>
        <v>-78490</v>
      </c>
      <c r="I373" s="165" t="s">
        <v>123</v>
      </c>
      <c r="J373" s="165" t="s">
        <v>550</v>
      </c>
      <c r="K373" s="176"/>
    </row>
    <row r="374" spans="1:11" ht="15.6">
      <c r="A374" s="480">
        <v>46101</v>
      </c>
      <c r="B374" s="165" t="s">
        <v>1052</v>
      </c>
      <c r="C374" s="165" t="s">
        <v>539</v>
      </c>
      <c r="D374" s="165" t="s">
        <v>259</v>
      </c>
      <c r="E374" s="165"/>
      <c r="F374" s="165">
        <v>500</v>
      </c>
      <c r="G374" s="406"/>
      <c r="H374" s="407">
        <f t="shared" si="6"/>
        <v>-78990</v>
      </c>
      <c r="I374" s="165" t="s">
        <v>123</v>
      </c>
      <c r="J374" s="165" t="s">
        <v>550</v>
      </c>
      <c r="K374" s="176"/>
    </row>
    <row r="375" spans="1:11" ht="15.6">
      <c r="A375" s="480">
        <v>46101</v>
      </c>
      <c r="B375" s="165" t="s">
        <v>537</v>
      </c>
      <c r="C375" s="165" t="s">
        <v>102</v>
      </c>
      <c r="D375" s="165" t="s">
        <v>259</v>
      </c>
      <c r="E375" s="165">
        <v>103000</v>
      </c>
      <c r="F375" s="165"/>
      <c r="G375" s="406"/>
      <c r="H375" s="407">
        <f t="shared" si="6"/>
        <v>24010</v>
      </c>
      <c r="I375" s="165" t="s">
        <v>123</v>
      </c>
      <c r="J375" s="165" t="s">
        <v>570</v>
      </c>
      <c r="K375" s="176"/>
    </row>
    <row r="376" spans="1:11" ht="15.6">
      <c r="A376" s="480">
        <v>46101</v>
      </c>
      <c r="B376" s="165" t="s">
        <v>1051</v>
      </c>
      <c r="C376" s="165" t="s">
        <v>542</v>
      </c>
      <c r="D376" s="165" t="s">
        <v>259</v>
      </c>
      <c r="E376" s="165"/>
      <c r="F376" s="165">
        <v>10000</v>
      </c>
      <c r="G376" s="406"/>
      <c r="H376" s="407">
        <f t="shared" si="6"/>
        <v>14010</v>
      </c>
      <c r="I376" s="165" t="s">
        <v>123</v>
      </c>
      <c r="J376" s="165" t="s">
        <v>571</v>
      </c>
      <c r="K376" s="176"/>
    </row>
    <row r="377" spans="1:11" ht="15.6">
      <c r="A377" s="480">
        <v>46102</v>
      </c>
      <c r="B377" s="165" t="s">
        <v>1053</v>
      </c>
      <c r="C377" s="165" t="s">
        <v>539</v>
      </c>
      <c r="D377" s="165" t="s">
        <v>259</v>
      </c>
      <c r="E377" s="165"/>
      <c r="F377" s="165">
        <v>500</v>
      </c>
      <c r="G377" s="406"/>
      <c r="H377" s="407">
        <f t="shared" si="6"/>
        <v>13510</v>
      </c>
      <c r="I377" s="165" t="s">
        <v>123</v>
      </c>
      <c r="J377" s="165" t="s">
        <v>550</v>
      </c>
      <c r="K377" s="176"/>
    </row>
    <row r="378" spans="1:11" ht="15.6">
      <c r="A378" s="480">
        <v>46102</v>
      </c>
      <c r="B378" s="165" t="s">
        <v>1053</v>
      </c>
      <c r="C378" s="165" t="s">
        <v>539</v>
      </c>
      <c r="D378" s="165" t="s">
        <v>259</v>
      </c>
      <c r="E378" s="165"/>
      <c r="F378" s="165">
        <v>500</v>
      </c>
      <c r="G378" s="406"/>
      <c r="H378" s="407">
        <f t="shared" si="6"/>
        <v>13010</v>
      </c>
      <c r="I378" s="165" t="s">
        <v>123</v>
      </c>
      <c r="J378" s="165" t="s">
        <v>550</v>
      </c>
      <c r="K378" s="176"/>
    </row>
    <row r="379" spans="1:11" ht="15.6">
      <c r="A379" s="480">
        <v>46102</v>
      </c>
      <c r="B379" s="165" t="s">
        <v>1053</v>
      </c>
      <c r="C379" s="165" t="s">
        <v>539</v>
      </c>
      <c r="D379" s="165" t="s">
        <v>259</v>
      </c>
      <c r="E379" s="165"/>
      <c r="F379" s="165">
        <v>500</v>
      </c>
      <c r="G379" s="406"/>
      <c r="H379" s="407">
        <f t="shared" si="6"/>
        <v>12510</v>
      </c>
      <c r="I379" s="165" t="s">
        <v>123</v>
      </c>
      <c r="J379" s="165" t="s">
        <v>550</v>
      </c>
      <c r="K379" s="176"/>
    </row>
    <row r="380" spans="1:11" ht="15.6">
      <c r="A380" s="480">
        <v>46102</v>
      </c>
      <c r="B380" s="165" t="s">
        <v>1053</v>
      </c>
      <c r="C380" s="165" t="s">
        <v>539</v>
      </c>
      <c r="D380" s="165" t="s">
        <v>259</v>
      </c>
      <c r="E380" s="165"/>
      <c r="F380" s="165">
        <v>500</v>
      </c>
      <c r="G380" s="406"/>
      <c r="H380" s="407">
        <f t="shared" si="6"/>
        <v>12010</v>
      </c>
      <c r="I380" s="165" t="s">
        <v>123</v>
      </c>
      <c r="J380" s="165" t="s">
        <v>550</v>
      </c>
      <c r="K380" s="176"/>
    </row>
    <row r="381" spans="1:11" ht="15.6">
      <c r="A381" s="480">
        <v>46105</v>
      </c>
      <c r="B381" s="165" t="s">
        <v>1053</v>
      </c>
      <c r="C381" s="165" t="s">
        <v>539</v>
      </c>
      <c r="D381" s="165" t="s">
        <v>259</v>
      </c>
      <c r="E381" s="165"/>
      <c r="F381" s="165">
        <v>500</v>
      </c>
      <c r="G381" s="406"/>
      <c r="H381" s="407">
        <f t="shared" si="6"/>
        <v>11510</v>
      </c>
      <c r="I381" s="165" t="s">
        <v>123</v>
      </c>
      <c r="J381" s="165" t="s">
        <v>550</v>
      </c>
      <c r="K381" s="176"/>
    </row>
    <row r="382" spans="1:11" ht="15.6">
      <c r="A382" s="480">
        <v>46105</v>
      </c>
      <c r="B382" s="165" t="s">
        <v>1043</v>
      </c>
      <c r="C382" s="165" t="s">
        <v>402</v>
      </c>
      <c r="D382" s="165" t="s">
        <v>259</v>
      </c>
      <c r="E382" s="165"/>
      <c r="F382" s="165">
        <v>3500</v>
      </c>
      <c r="G382" s="406"/>
      <c r="H382" s="407">
        <f t="shared" si="6"/>
        <v>8010</v>
      </c>
      <c r="I382" s="165" t="s">
        <v>123</v>
      </c>
      <c r="J382" s="165" t="s">
        <v>572</v>
      </c>
      <c r="K382" s="176"/>
    </row>
    <row r="383" spans="1:11" ht="15.6">
      <c r="A383" s="480">
        <v>46105</v>
      </c>
      <c r="B383" s="165" t="s">
        <v>1043</v>
      </c>
      <c r="C383" s="165" t="s">
        <v>402</v>
      </c>
      <c r="D383" s="165" t="s">
        <v>259</v>
      </c>
      <c r="E383" s="165"/>
      <c r="F383" s="165">
        <v>3500</v>
      </c>
      <c r="G383" s="406"/>
      <c r="H383" s="407">
        <f t="shared" si="6"/>
        <v>4510</v>
      </c>
      <c r="I383" s="165" t="s">
        <v>123</v>
      </c>
      <c r="J383" s="165" t="s">
        <v>573</v>
      </c>
      <c r="K383" s="176"/>
    </row>
    <row r="384" spans="1:11" ht="15.6">
      <c r="A384" s="480">
        <v>46105</v>
      </c>
      <c r="B384" s="165" t="s">
        <v>1078</v>
      </c>
      <c r="C384" s="165" t="s">
        <v>539</v>
      </c>
      <c r="D384" s="165" t="s">
        <v>259</v>
      </c>
      <c r="E384" s="165"/>
      <c r="F384" s="165">
        <v>500</v>
      </c>
      <c r="G384" s="406"/>
      <c r="H384" s="407">
        <f t="shared" si="6"/>
        <v>4010</v>
      </c>
      <c r="I384" s="165" t="s">
        <v>123</v>
      </c>
      <c r="J384" s="165" t="s">
        <v>550</v>
      </c>
      <c r="K384" s="176"/>
    </row>
    <row r="385" spans="1:11" ht="15.6">
      <c r="A385" s="480">
        <v>46105</v>
      </c>
      <c r="B385" s="165" t="s">
        <v>1053</v>
      </c>
      <c r="C385" s="165" t="s">
        <v>539</v>
      </c>
      <c r="D385" s="165" t="s">
        <v>259</v>
      </c>
      <c r="E385" s="165"/>
      <c r="F385" s="165">
        <v>500</v>
      </c>
      <c r="G385" s="406"/>
      <c r="H385" s="407">
        <f t="shared" si="6"/>
        <v>3510</v>
      </c>
      <c r="I385" s="165" t="s">
        <v>123</v>
      </c>
      <c r="J385" s="165" t="s">
        <v>550</v>
      </c>
      <c r="K385" s="176"/>
    </row>
    <row r="386" spans="1:11" ht="15.6">
      <c r="A386" s="480">
        <v>46105</v>
      </c>
      <c r="B386" s="165" t="s">
        <v>1053</v>
      </c>
      <c r="C386" s="165" t="s">
        <v>539</v>
      </c>
      <c r="D386" s="165" t="s">
        <v>259</v>
      </c>
      <c r="E386" s="165"/>
      <c r="F386" s="165">
        <v>500</v>
      </c>
      <c r="G386" s="406"/>
      <c r="H386" s="407">
        <f t="shared" si="6"/>
        <v>3010</v>
      </c>
      <c r="I386" s="165" t="s">
        <v>123</v>
      </c>
      <c r="J386" s="165" t="s">
        <v>550</v>
      </c>
      <c r="K386" s="176"/>
    </row>
    <row r="387" spans="1:11" ht="15.6">
      <c r="A387" s="480">
        <v>46105</v>
      </c>
      <c r="B387" s="165" t="s">
        <v>540</v>
      </c>
      <c r="C387" s="165" t="s">
        <v>541</v>
      </c>
      <c r="D387" s="165" t="s">
        <v>259</v>
      </c>
      <c r="E387" s="165"/>
      <c r="F387" s="165">
        <v>2000</v>
      </c>
      <c r="G387" s="406"/>
      <c r="H387" s="407">
        <f t="shared" si="6"/>
        <v>1010</v>
      </c>
      <c r="I387" s="165" t="s">
        <v>123</v>
      </c>
      <c r="J387" s="165" t="s">
        <v>551</v>
      </c>
      <c r="K387" s="176"/>
    </row>
    <row r="388" spans="1:11" ht="15.6">
      <c r="A388" s="480">
        <v>46105</v>
      </c>
      <c r="B388" s="165" t="s">
        <v>547</v>
      </c>
      <c r="C388" s="165" t="s">
        <v>110</v>
      </c>
      <c r="D388" s="165" t="s">
        <v>259</v>
      </c>
      <c r="E388" s="165">
        <v>7500</v>
      </c>
      <c r="F388" s="165"/>
      <c r="G388" s="406"/>
      <c r="H388" s="407">
        <f t="shared" si="6"/>
        <v>8510</v>
      </c>
      <c r="I388" s="165" t="s">
        <v>123</v>
      </c>
      <c r="J388" s="165" t="s">
        <v>574</v>
      </c>
      <c r="K388" s="176"/>
    </row>
    <row r="389" spans="1:11" ht="15.6">
      <c r="A389" s="480">
        <v>46105</v>
      </c>
      <c r="B389" s="165" t="s">
        <v>547</v>
      </c>
      <c r="C389" s="165" t="s">
        <v>110</v>
      </c>
      <c r="D389" s="165" t="s">
        <v>544</v>
      </c>
      <c r="E389" s="165"/>
      <c r="F389" s="165">
        <v>7500</v>
      </c>
      <c r="G389" s="406"/>
      <c r="H389" s="407">
        <f t="shared" si="6"/>
        <v>1010</v>
      </c>
      <c r="I389" s="165" t="s">
        <v>123</v>
      </c>
      <c r="J389" s="165" t="s">
        <v>574</v>
      </c>
      <c r="K389" s="176"/>
    </row>
    <row r="390" spans="1:11" ht="15.6">
      <c r="A390" s="480">
        <v>46107</v>
      </c>
      <c r="B390" s="165" t="s">
        <v>537</v>
      </c>
      <c r="C390" s="165" t="s">
        <v>102</v>
      </c>
      <c r="D390" s="165" t="s">
        <v>259</v>
      </c>
      <c r="E390" s="165">
        <v>67000</v>
      </c>
      <c r="F390" s="165"/>
      <c r="G390" s="406"/>
      <c r="H390" s="407">
        <f t="shared" si="6"/>
        <v>68010</v>
      </c>
      <c r="I390" s="165" t="s">
        <v>123</v>
      </c>
      <c r="J390" s="165" t="s">
        <v>575</v>
      </c>
      <c r="K390" s="176"/>
    </row>
    <row r="391" spans="1:11" ht="15.6">
      <c r="A391" s="480">
        <v>46109</v>
      </c>
      <c r="B391" s="165" t="s">
        <v>1028</v>
      </c>
      <c r="C391" s="165" t="s">
        <v>402</v>
      </c>
      <c r="D391" s="165" t="s">
        <v>259</v>
      </c>
      <c r="E391" s="165"/>
      <c r="F391" s="165">
        <v>3500</v>
      </c>
      <c r="G391" s="406"/>
      <c r="H391" s="407">
        <f t="shared" si="6"/>
        <v>64510</v>
      </c>
      <c r="I391" s="165" t="s">
        <v>123</v>
      </c>
      <c r="J391" s="165" t="s">
        <v>576</v>
      </c>
      <c r="K391" s="176"/>
    </row>
    <row r="392" spans="1:11" ht="15.6">
      <c r="A392" s="480">
        <v>46109</v>
      </c>
      <c r="B392" s="165" t="s">
        <v>1028</v>
      </c>
      <c r="C392" s="165" t="s">
        <v>402</v>
      </c>
      <c r="D392" s="165" t="s">
        <v>259</v>
      </c>
      <c r="E392" s="165"/>
      <c r="F392" s="165">
        <v>3500</v>
      </c>
      <c r="G392" s="406"/>
      <c r="H392" s="407">
        <f t="shared" si="6"/>
        <v>61010</v>
      </c>
      <c r="I392" s="165" t="s">
        <v>123</v>
      </c>
      <c r="J392" s="165" t="s">
        <v>577</v>
      </c>
      <c r="K392" s="176"/>
    </row>
    <row r="393" spans="1:11" ht="15.6">
      <c r="A393" s="480">
        <v>46109</v>
      </c>
      <c r="B393" s="165" t="s">
        <v>540</v>
      </c>
      <c r="C393" s="165" t="s">
        <v>541</v>
      </c>
      <c r="D393" s="165" t="s">
        <v>259</v>
      </c>
      <c r="E393" s="165"/>
      <c r="F393" s="165">
        <v>2000</v>
      </c>
      <c r="G393" s="406"/>
      <c r="H393" s="407">
        <f t="shared" si="6"/>
        <v>59010</v>
      </c>
      <c r="I393" s="165" t="s">
        <v>123</v>
      </c>
      <c r="J393" s="165" t="s">
        <v>551</v>
      </c>
      <c r="K393" s="176"/>
    </row>
    <row r="394" spans="1:11" ht="15.6">
      <c r="A394" s="480">
        <v>46109</v>
      </c>
      <c r="B394" s="165" t="s">
        <v>1053</v>
      </c>
      <c r="C394" s="165" t="s">
        <v>539</v>
      </c>
      <c r="D394" s="165" t="s">
        <v>259</v>
      </c>
      <c r="E394" s="165"/>
      <c r="F394" s="165">
        <v>500</v>
      </c>
      <c r="G394" s="406"/>
      <c r="H394" s="407">
        <f t="shared" si="6"/>
        <v>58510</v>
      </c>
      <c r="I394" s="165" t="s">
        <v>123</v>
      </c>
      <c r="J394" s="165" t="s">
        <v>550</v>
      </c>
      <c r="K394" s="176"/>
    </row>
    <row r="395" spans="1:11" ht="15.6">
      <c r="A395" s="480">
        <v>46109</v>
      </c>
      <c r="B395" s="165" t="s">
        <v>1053</v>
      </c>
      <c r="C395" s="165" t="s">
        <v>539</v>
      </c>
      <c r="D395" s="165" t="s">
        <v>259</v>
      </c>
      <c r="E395" s="165"/>
      <c r="F395" s="165">
        <v>500</v>
      </c>
      <c r="G395" s="406"/>
      <c r="H395" s="407">
        <f t="shared" si="6"/>
        <v>58010</v>
      </c>
      <c r="I395" s="165" t="s">
        <v>123</v>
      </c>
      <c r="J395" s="165" t="s">
        <v>550</v>
      </c>
      <c r="K395" s="176"/>
    </row>
    <row r="396" spans="1:11" ht="15.6">
      <c r="A396" s="480">
        <v>46109</v>
      </c>
      <c r="B396" s="165" t="s">
        <v>1052</v>
      </c>
      <c r="C396" s="165" t="s">
        <v>539</v>
      </c>
      <c r="D396" s="165" t="s">
        <v>259</v>
      </c>
      <c r="E396" s="165"/>
      <c r="F396" s="165">
        <v>500</v>
      </c>
      <c r="G396" s="406"/>
      <c r="H396" s="407">
        <f t="shared" si="6"/>
        <v>57510</v>
      </c>
      <c r="I396" s="165" t="s">
        <v>123</v>
      </c>
      <c r="J396" s="165" t="s">
        <v>550</v>
      </c>
      <c r="K396" s="176"/>
    </row>
    <row r="397" spans="1:11" ht="15.6">
      <c r="A397" s="480">
        <v>46110</v>
      </c>
      <c r="B397" s="165" t="s">
        <v>1043</v>
      </c>
      <c r="C397" s="165" t="s">
        <v>402</v>
      </c>
      <c r="D397" s="165" t="s">
        <v>259</v>
      </c>
      <c r="E397" s="165"/>
      <c r="F397" s="165">
        <v>3000</v>
      </c>
      <c r="G397" s="406"/>
      <c r="H397" s="407">
        <f t="shared" si="6"/>
        <v>54510</v>
      </c>
      <c r="I397" s="165" t="s">
        <v>123</v>
      </c>
      <c r="J397" s="165" t="s">
        <v>578</v>
      </c>
      <c r="K397" s="176"/>
    </row>
    <row r="398" spans="1:11" ht="15.6">
      <c r="A398" s="480">
        <v>46110</v>
      </c>
      <c r="B398" s="165" t="s">
        <v>1043</v>
      </c>
      <c r="C398" s="165" t="s">
        <v>402</v>
      </c>
      <c r="D398" s="165" t="s">
        <v>259</v>
      </c>
      <c r="E398" s="165"/>
      <c r="F398" s="165">
        <v>3000</v>
      </c>
      <c r="G398" s="406"/>
      <c r="H398" s="407">
        <f t="shared" si="6"/>
        <v>51510</v>
      </c>
      <c r="I398" s="165" t="s">
        <v>123</v>
      </c>
      <c r="J398" s="165" t="s">
        <v>579</v>
      </c>
      <c r="K398" s="176"/>
    </row>
    <row r="399" spans="1:11" ht="15.6">
      <c r="A399" s="480">
        <v>46110</v>
      </c>
      <c r="B399" s="165" t="s">
        <v>540</v>
      </c>
      <c r="C399" s="165" t="s">
        <v>541</v>
      </c>
      <c r="D399" s="165" t="s">
        <v>259</v>
      </c>
      <c r="E399" s="165"/>
      <c r="F399" s="165">
        <v>2000</v>
      </c>
      <c r="G399" s="406"/>
      <c r="H399" s="407">
        <f t="shared" si="6"/>
        <v>49510</v>
      </c>
      <c r="I399" s="165" t="s">
        <v>123</v>
      </c>
      <c r="J399" s="165" t="s">
        <v>551</v>
      </c>
      <c r="K399" s="176"/>
    </row>
    <row r="400" spans="1:11" ht="15.6">
      <c r="A400" s="480">
        <v>46110</v>
      </c>
      <c r="B400" s="165" t="s">
        <v>1053</v>
      </c>
      <c r="C400" s="165" t="s">
        <v>539</v>
      </c>
      <c r="D400" s="165" t="s">
        <v>259</v>
      </c>
      <c r="E400" s="165"/>
      <c r="F400" s="165">
        <v>500</v>
      </c>
      <c r="G400" s="406"/>
      <c r="H400" s="407">
        <f t="shared" si="6"/>
        <v>49010</v>
      </c>
      <c r="I400" s="165" t="s">
        <v>123</v>
      </c>
      <c r="J400" s="165" t="s">
        <v>550</v>
      </c>
      <c r="K400" s="176"/>
    </row>
    <row r="401" spans="1:11" ht="15.6">
      <c r="A401" s="480">
        <v>46110</v>
      </c>
      <c r="B401" s="165" t="s">
        <v>1053</v>
      </c>
      <c r="C401" s="165" t="s">
        <v>539</v>
      </c>
      <c r="D401" s="165" t="s">
        <v>259</v>
      </c>
      <c r="E401" s="165"/>
      <c r="F401" s="165">
        <v>500</v>
      </c>
      <c r="G401" s="406"/>
      <c r="H401" s="407">
        <f t="shared" si="6"/>
        <v>48510</v>
      </c>
      <c r="I401" s="165" t="s">
        <v>123</v>
      </c>
      <c r="J401" s="165" t="s">
        <v>550</v>
      </c>
      <c r="K401" s="176"/>
    </row>
    <row r="402" spans="1:11" ht="15.6">
      <c r="A402" s="480">
        <v>46110</v>
      </c>
      <c r="B402" s="165" t="s">
        <v>1079</v>
      </c>
      <c r="C402" s="165" t="s">
        <v>539</v>
      </c>
      <c r="D402" s="165" t="s">
        <v>259</v>
      </c>
      <c r="E402" s="165"/>
      <c r="F402" s="165">
        <v>500</v>
      </c>
      <c r="G402" s="406"/>
      <c r="H402" s="407">
        <f t="shared" si="6"/>
        <v>48010</v>
      </c>
      <c r="I402" s="165" t="s">
        <v>123</v>
      </c>
      <c r="J402" s="165" t="s">
        <v>550</v>
      </c>
      <c r="K402" s="176"/>
    </row>
    <row r="403" spans="1:11" ht="15.6">
      <c r="A403" s="480">
        <v>46111</v>
      </c>
      <c r="B403" s="165" t="s">
        <v>537</v>
      </c>
      <c r="C403" s="165" t="s">
        <v>102</v>
      </c>
      <c r="D403" s="165" t="s">
        <v>259</v>
      </c>
      <c r="E403" s="165">
        <v>75000</v>
      </c>
      <c r="F403" s="165"/>
      <c r="G403" s="406"/>
      <c r="H403" s="407">
        <f t="shared" si="6"/>
        <v>123010</v>
      </c>
      <c r="I403" s="165" t="s">
        <v>123</v>
      </c>
      <c r="J403" s="165" t="s">
        <v>580</v>
      </c>
      <c r="K403" s="176"/>
    </row>
    <row r="404" spans="1:11" ht="15.6">
      <c r="A404" s="480">
        <v>46112</v>
      </c>
      <c r="B404" s="165" t="s">
        <v>1053</v>
      </c>
      <c r="C404" s="165" t="s">
        <v>539</v>
      </c>
      <c r="D404" s="165" t="s">
        <v>259</v>
      </c>
      <c r="E404" s="165"/>
      <c r="F404" s="165">
        <v>500</v>
      </c>
      <c r="G404" s="406"/>
      <c r="H404" s="407">
        <f t="shared" si="6"/>
        <v>122510</v>
      </c>
      <c r="I404" s="165" t="s">
        <v>123</v>
      </c>
      <c r="J404" s="165" t="s">
        <v>550</v>
      </c>
      <c r="K404" s="176"/>
    </row>
    <row r="405" spans="1:11" ht="15.6">
      <c r="A405" s="480">
        <v>46112</v>
      </c>
      <c r="B405" s="165" t="s">
        <v>1033</v>
      </c>
      <c r="C405" s="165" t="s">
        <v>539</v>
      </c>
      <c r="D405" s="165" t="s">
        <v>259</v>
      </c>
      <c r="E405" s="165"/>
      <c r="F405" s="165">
        <v>500</v>
      </c>
      <c r="G405" s="406"/>
      <c r="H405" s="407">
        <f t="shared" si="6"/>
        <v>122010</v>
      </c>
      <c r="I405" s="165" t="s">
        <v>123</v>
      </c>
      <c r="J405" s="165" t="s">
        <v>550</v>
      </c>
      <c r="K405" s="176"/>
    </row>
    <row r="406" spans="1:11" ht="15.6">
      <c r="A406" s="480">
        <v>46112</v>
      </c>
      <c r="B406" s="165" t="s">
        <v>1051</v>
      </c>
      <c r="C406" s="165" t="s">
        <v>542</v>
      </c>
      <c r="D406" s="165" t="s">
        <v>259</v>
      </c>
      <c r="E406" s="165"/>
      <c r="F406" s="165">
        <v>110000</v>
      </c>
      <c r="G406" s="406"/>
      <c r="H406" s="407">
        <f t="shared" si="6"/>
        <v>12010</v>
      </c>
      <c r="I406" s="165" t="s">
        <v>123</v>
      </c>
      <c r="J406" s="165" t="s">
        <v>581</v>
      </c>
      <c r="K406" s="176"/>
    </row>
    <row r="407" spans="1:11" ht="15.6">
      <c r="A407" s="480">
        <v>46112</v>
      </c>
      <c r="B407" s="165" t="s">
        <v>1043</v>
      </c>
      <c r="C407" s="165" t="s">
        <v>402</v>
      </c>
      <c r="D407" s="165" t="s">
        <v>259</v>
      </c>
      <c r="E407" s="165"/>
      <c r="F407" s="165">
        <v>2000</v>
      </c>
      <c r="G407" s="173"/>
      <c r="H407" s="174">
        <f t="shared" si="6"/>
        <v>10010</v>
      </c>
      <c r="I407" s="165" t="s">
        <v>123</v>
      </c>
      <c r="J407" s="165" t="s">
        <v>582</v>
      </c>
      <c r="K407" s="176"/>
    </row>
    <row r="408" spans="1:11" ht="15.6">
      <c r="A408" s="480">
        <v>46112</v>
      </c>
      <c r="B408" s="165" t="s">
        <v>1066</v>
      </c>
      <c r="C408" s="165" t="s">
        <v>539</v>
      </c>
      <c r="D408" s="165" t="s">
        <v>259</v>
      </c>
      <c r="E408" s="165"/>
      <c r="F408" s="165">
        <v>1000</v>
      </c>
      <c r="G408" s="173"/>
      <c r="H408" s="174">
        <f t="shared" si="6"/>
        <v>9010</v>
      </c>
      <c r="I408" s="165" t="s">
        <v>123</v>
      </c>
      <c r="J408" s="165" t="s">
        <v>550</v>
      </c>
      <c r="K408" s="176"/>
    </row>
    <row r="409" spans="1:11" ht="15.6">
      <c r="A409" s="168"/>
      <c r="B409" s="176"/>
      <c r="C409" s="176"/>
      <c r="D409" s="176"/>
      <c r="E409" s="188">
        <f>SUM(E289:E408)</f>
        <v>618000</v>
      </c>
      <c r="F409" s="188">
        <f>SUM(F289:F408)</f>
        <v>608500</v>
      </c>
      <c r="G409" s="188"/>
      <c r="H409" s="196">
        <f>+E409-F409+H288</f>
        <v>9010</v>
      </c>
      <c r="I409" s="176"/>
      <c r="J409" s="176"/>
      <c r="K409" s="176"/>
    </row>
    <row r="410" spans="1:11" ht="15.6">
      <c r="A410" s="178"/>
      <c r="B410" s="176"/>
      <c r="C410" s="176"/>
      <c r="D410" s="176"/>
      <c r="E410" s="180"/>
      <c r="F410" s="180"/>
      <c r="G410" s="180"/>
      <c r="H410" s="181"/>
      <c r="I410" s="176"/>
      <c r="J410" s="176"/>
      <c r="K410" s="176"/>
    </row>
    <row r="411" spans="1:11" ht="15.6">
      <c r="A411" s="178"/>
      <c r="B411" s="176"/>
      <c r="C411" s="179" t="s">
        <v>152</v>
      </c>
      <c r="D411" s="176"/>
      <c r="E411" s="180"/>
      <c r="F411" s="180"/>
      <c r="G411" s="180"/>
      <c r="H411" s="181"/>
      <c r="I411" s="176"/>
      <c r="J411" s="176"/>
      <c r="K411" s="176"/>
    </row>
    <row r="412" spans="1:11" ht="15.6">
      <c r="A412" s="178"/>
      <c r="B412" s="176"/>
      <c r="C412" s="176"/>
      <c r="D412" s="176"/>
      <c r="E412" s="180"/>
      <c r="F412" s="180"/>
      <c r="G412" s="180"/>
      <c r="H412" s="181"/>
      <c r="I412" s="176"/>
      <c r="J412" s="176"/>
      <c r="K412" s="176"/>
    </row>
    <row r="413" spans="1:11" ht="15.6">
      <c r="A413" s="182" t="s">
        <v>0</v>
      </c>
      <c r="B413" s="183" t="s">
        <v>141</v>
      </c>
      <c r="C413" s="183" t="s">
        <v>142</v>
      </c>
      <c r="D413" s="183" t="s">
        <v>143</v>
      </c>
      <c r="E413" s="184" t="s">
        <v>144</v>
      </c>
      <c r="F413" s="184" t="s">
        <v>145</v>
      </c>
      <c r="G413" s="184"/>
      <c r="H413" s="190" t="s">
        <v>30</v>
      </c>
      <c r="I413" s="183" t="s">
        <v>146</v>
      </c>
      <c r="J413" s="183" t="s">
        <v>147</v>
      </c>
      <c r="K413" s="186"/>
    </row>
    <row r="414" spans="1:11" ht="15.6">
      <c r="A414" s="427">
        <v>46082</v>
      </c>
      <c r="B414" s="405" t="s">
        <v>857</v>
      </c>
      <c r="C414" s="405"/>
      <c r="D414" s="405"/>
      <c r="E414" s="406"/>
      <c r="F414" s="406"/>
      <c r="G414" s="406"/>
      <c r="H414" s="407">
        <v>61350</v>
      </c>
      <c r="I414" s="405" t="s">
        <v>122</v>
      </c>
      <c r="J414" s="405"/>
      <c r="K414" s="176"/>
    </row>
    <row r="415" spans="1:11" ht="15.6">
      <c r="A415" s="212">
        <v>46083</v>
      </c>
      <c r="B415" s="75" t="s">
        <v>583</v>
      </c>
      <c r="C415" s="75" t="s">
        <v>102</v>
      </c>
      <c r="D415" s="75" t="s">
        <v>259</v>
      </c>
      <c r="E415" s="75">
        <v>75000</v>
      </c>
      <c r="F415" s="75"/>
      <c r="G415" s="406"/>
      <c r="H415" s="407"/>
      <c r="I415" s="211" t="s">
        <v>122</v>
      </c>
      <c r="J415" s="75" t="s">
        <v>593</v>
      </c>
      <c r="K415" s="176"/>
    </row>
    <row r="416" spans="1:11" ht="15.6">
      <c r="A416" s="212">
        <v>46083</v>
      </c>
      <c r="B416" s="75" t="s">
        <v>1029</v>
      </c>
      <c r="C416" s="75" t="s">
        <v>584</v>
      </c>
      <c r="D416" s="75" t="s">
        <v>259</v>
      </c>
      <c r="E416" s="75"/>
      <c r="F416" s="75">
        <v>1000</v>
      </c>
      <c r="G416" s="406"/>
      <c r="H416" s="407"/>
      <c r="I416" s="211" t="s">
        <v>122</v>
      </c>
      <c r="J416" s="75" t="s">
        <v>594</v>
      </c>
      <c r="K416" s="176"/>
    </row>
    <row r="417" spans="1:11" ht="15.6">
      <c r="A417" s="212">
        <v>46083</v>
      </c>
      <c r="B417" s="165" t="s">
        <v>585</v>
      </c>
      <c r="C417" s="165" t="s">
        <v>110</v>
      </c>
      <c r="D417" s="211" t="s">
        <v>259</v>
      </c>
      <c r="E417" s="75">
        <v>7500</v>
      </c>
      <c r="F417" s="75"/>
      <c r="G417" s="406"/>
      <c r="H417" s="407"/>
      <c r="I417" s="211" t="s">
        <v>122</v>
      </c>
      <c r="J417" s="75" t="s">
        <v>595</v>
      </c>
      <c r="K417" s="176"/>
    </row>
    <row r="418" spans="1:11" ht="15.6">
      <c r="A418" s="212">
        <v>46083</v>
      </c>
      <c r="B418" s="165" t="s">
        <v>585</v>
      </c>
      <c r="C418" s="165" t="s">
        <v>110</v>
      </c>
      <c r="D418" s="211" t="s">
        <v>259</v>
      </c>
      <c r="E418" s="75"/>
      <c r="F418" s="75">
        <v>7500</v>
      </c>
      <c r="G418" s="406"/>
      <c r="H418" s="407"/>
      <c r="I418" s="211" t="s">
        <v>122</v>
      </c>
      <c r="J418" s="75" t="s">
        <v>595</v>
      </c>
      <c r="K418" s="176"/>
    </row>
    <row r="419" spans="1:11" ht="15.6">
      <c r="A419" s="212">
        <v>46083</v>
      </c>
      <c r="B419" s="75" t="s">
        <v>1025</v>
      </c>
      <c r="C419" s="75" t="s">
        <v>584</v>
      </c>
      <c r="D419" s="75" t="s">
        <v>259</v>
      </c>
      <c r="E419" s="75"/>
      <c r="F419" s="75">
        <v>1000</v>
      </c>
      <c r="G419" s="406"/>
      <c r="H419" s="407"/>
      <c r="I419" s="211" t="s">
        <v>122</v>
      </c>
      <c r="J419" s="75" t="s">
        <v>594</v>
      </c>
      <c r="K419" s="176"/>
    </row>
    <row r="420" spans="1:11" ht="15.6">
      <c r="A420" s="212">
        <v>46083</v>
      </c>
      <c r="B420" s="75" t="s">
        <v>1029</v>
      </c>
      <c r="C420" s="75" t="s">
        <v>584</v>
      </c>
      <c r="D420" s="75" t="s">
        <v>259</v>
      </c>
      <c r="E420" s="75"/>
      <c r="F420" s="75">
        <v>1000</v>
      </c>
      <c r="G420" s="406"/>
      <c r="H420" s="407"/>
      <c r="I420" s="211" t="s">
        <v>122</v>
      </c>
      <c r="J420" s="75" t="s">
        <v>594</v>
      </c>
      <c r="K420" s="176"/>
    </row>
    <row r="421" spans="1:11" ht="15.6">
      <c r="A421" s="212">
        <v>46083</v>
      </c>
      <c r="B421" s="75" t="s">
        <v>1025</v>
      </c>
      <c r="C421" s="75" t="s">
        <v>584</v>
      </c>
      <c r="D421" s="75" t="s">
        <v>259</v>
      </c>
      <c r="E421" s="75"/>
      <c r="F421" s="75">
        <v>1000</v>
      </c>
      <c r="G421" s="406"/>
      <c r="H421" s="407"/>
      <c r="I421" s="211" t="s">
        <v>122</v>
      </c>
      <c r="J421" s="75" t="s">
        <v>594</v>
      </c>
      <c r="K421" s="176"/>
    </row>
    <row r="422" spans="1:11" ht="15.6">
      <c r="A422" s="212">
        <v>46083</v>
      </c>
      <c r="B422" s="75" t="s">
        <v>540</v>
      </c>
      <c r="C422" s="75" t="s">
        <v>541</v>
      </c>
      <c r="D422" s="75" t="s">
        <v>259</v>
      </c>
      <c r="E422" s="75"/>
      <c r="F422" s="75">
        <v>2000</v>
      </c>
      <c r="G422" s="406"/>
      <c r="H422" s="407"/>
      <c r="I422" s="211" t="s">
        <v>122</v>
      </c>
      <c r="J422" s="75" t="s">
        <v>596</v>
      </c>
      <c r="K422" s="176"/>
    </row>
    <row r="423" spans="1:11" ht="15.6">
      <c r="A423" s="212">
        <v>46083</v>
      </c>
      <c r="B423" s="75" t="s">
        <v>1045</v>
      </c>
      <c r="C423" s="75" t="s">
        <v>402</v>
      </c>
      <c r="D423" s="75" t="s">
        <v>259</v>
      </c>
      <c r="E423" s="75"/>
      <c r="F423" s="75">
        <v>8000</v>
      </c>
      <c r="G423" s="406"/>
      <c r="H423" s="407"/>
      <c r="I423" s="211" t="s">
        <v>122</v>
      </c>
      <c r="J423" s="75" t="s">
        <v>597</v>
      </c>
      <c r="K423" s="176"/>
    </row>
    <row r="424" spans="1:11" ht="15.6">
      <c r="A424" s="212">
        <v>46083</v>
      </c>
      <c r="B424" s="211" t="s">
        <v>1046</v>
      </c>
      <c r="C424" s="75" t="s">
        <v>406</v>
      </c>
      <c r="D424" s="75" t="s">
        <v>259</v>
      </c>
      <c r="E424" s="75"/>
      <c r="F424" s="75">
        <v>50000</v>
      </c>
      <c r="G424" s="406"/>
      <c r="H424" s="407"/>
      <c r="I424" s="211" t="s">
        <v>122</v>
      </c>
      <c r="J424" s="75" t="s">
        <v>625</v>
      </c>
      <c r="K424" s="176"/>
    </row>
    <row r="425" spans="1:11" ht="15.6">
      <c r="A425" s="212">
        <v>46083</v>
      </c>
      <c r="B425" s="75" t="s">
        <v>1025</v>
      </c>
      <c r="C425" s="75" t="s">
        <v>584</v>
      </c>
      <c r="D425" s="75" t="s">
        <v>259</v>
      </c>
      <c r="E425" s="75"/>
      <c r="F425" s="75">
        <v>1000</v>
      </c>
      <c r="G425" s="406"/>
      <c r="H425" s="407"/>
      <c r="I425" s="211" t="s">
        <v>122</v>
      </c>
      <c r="J425" s="75" t="s">
        <v>594</v>
      </c>
      <c r="K425" s="176"/>
    </row>
    <row r="426" spans="1:11" ht="15.6">
      <c r="A426" s="212">
        <v>46083</v>
      </c>
      <c r="B426" s="75" t="s">
        <v>1031</v>
      </c>
      <c r="C426" s="75" t="s">
        <v>584</v>
      </c>
      <c r="D426" s="75" t="s">
        <v>259</v>
      </c>
      <c r="E426" s="75"/>
      <c r="F426" s="75">
        <v>500</v>
      </c>
      <c r="G426" s="406"/>
      <c r="H426" s="407"/>
      <c r="I426" s="211" t="s">
        <v>122</v>
      </c>
      <c r="J426" s="75" t="s">
        <v>594</v>
      </c>
      <c r="K426" s="176"/>
    </row>
    <row r="427" spans="1:11" ht="15.6">
      <c r="A427" s="212">
        <v>46083</v>
      </c>
      <c r="B427" s="75" t="s">
        <v>1027</v>
      </c>
      <c r="C427" s="75" t="s">
        <v>584</v>
      </c>
      <c r="D427" s="75" t="s">
        <v>259</v>
      </c>
      <c r="E427" s="75"/>
      <c r="F427" s="75">
        <v>500</v>
      </c>
      <c r="G427" s="406"/>
      <c r="H427" s="407"/>
      <c r="I427" s="211" t="s">
        <v>122</v>
      </c>
      <c r="J427" s="75" t="s">
        <v>594</v>
      </c>
      <c r="K427" s="176"/>
    </row>
    <row r="428" spans="1:11" ht="15.6">
      <c r="A428" s="212">
        <v>46083</v>
      </c>
      <c r="B428" s="75" t="s">
        <v>1027</v>
      </c>
      <c r="C428" s="75" t="s">
        <v>584</v>
      </c>
      <c r="D428" s="75" t="s">
        <v>259</v>
      </c>
      <c r="E428" s="75"/>
      <c r="F428" s="75">
        <v>500</v>
      </c>
      <c r="G428" s="406"/>
      <c r="H428" s="407"/>
      <c r="I428" s="211" t="s">
        <v>122</v>
      </c>
      <c r="J428" s="75" t="s">
        <v>594</v>
      </c>
      <c r="K428" s="176"/>
    </row>
    <row r="429" spans="1:11" ht="15.6">
      <c r="A429" s="212">
        <v>46085</v>
      </c>
      <c r="B429" s="75" t="s">
        <v>1031</v>
      </c>
      <c r="C429" s="75" t="s">
        <v>584</v>
      </c>
      <c r="D429" s="75" t="s">
        <v>259</v>
      </c>
      <c r="E429" s="75"/>
      <c r="F429" s="75">
        <v>500</v>
      </c>
      <c r="G429" s="406"/>
      <c r="H429" s="407"/>
      <c r="I429" s="211" t="s">
        <v>122</v>
      </c>
      <c r="J429" s="75" t="s">
        <v>594</v>
      </c>
      <c r="K429" s="176"/>
    </row>
    <row r="430" spans="1:11" ht="15.6">
      <c r="A430" s="212">
        <v>46085</v>
      </c>
      <c r="B430" s="75" t="s">
        <v>1027</v>
      </c>
      <c r="C430" s="75" t="s">
        <v>584</v>
      </c>
      <c r="D430" s="75" t="s">
        <v>259</v>
      </c>
      <c r="E430" s="75"/>
      <c r="F430" s="75">
        <v>500</v>
      </c>
      <c r="G430" s="406"/>
      <c r="H430" s="407"/>
      <c r="I430" s="211" t="s">
        <v>122</v>
      </c>
      <c r="J430" s="75" t="s">
        <v>594</v>
      </c>
      <c r="K430" s="176"/>
    </row>
    <row r="431" spans="1:11" ht="15.6">
      <c r="A431" s="212">
        <v>46085</v>
      </c>
      <c r="B431" s="75" t="s">
        <v>1031</v>
      </c>
      <c r="C431" s="75" t="s">
        <v>584</v>
      </c>
      <c r="D431" s="75" t="s">
        <v>259</v>
      </c>
      <c r="E431" s="75"/>
      <c r="F431" s="75">
        <v>500</v>
      </c>
      <c r="G431" s="406"/>
      <c r="H431" s="407"/>
      <c r="I431" s="211" t="s">
        <v>122</v>
      </c>
      <c r="J431" s="75" t="s">
        <v>594</v>
      </c>
      <c r="K431" s="176"/>
    </row>
    <row r="432" spans="1:11" ht="15.6">
      <c r="A432" s="212">
        <v>46085</v>
      </c>
      <c r="B432" s="75" t="s">
        <v>1027</v>
      </c>
      <c r="C432" s="75" t="s">
        <v>584</v>
      </c>
      <c r="D432" s="75" t="s">
        <v>259</v>
      </c>
      <c r="E432" s="75"/>
      <c r="F432" s="75">
        <v>500</v>
      </c>
      <c r="G432" s="406"/>
      <c r="H432" s="407"/>
      <c r="I432" s="211" t="s">
        <v>122</v>
      </c>
      <c r="J432" s="75" t="s">
        <v>594</v>
      </c>
      <c r="K432" s="176"/>
    </row>
    <row r="433" spans="1:11" ht="15.6">
      <c r="A433" s="212">
        <v>46085</v>
      </c>
      <c r="B433" s="75" t="s">
        <v>1027</v>
      </c>
      <c r="C433" s="75" t="s">
        <v>584</v>
      </c>
      <c r="D433" s="75" t="s">
        <v>259</v>
      </c>
      <c r="E433" s="75"/>
      <c r="F433" s="75">
        <v>500</v>
      </c>
      <c r="G433" s="406"/>
      <c r="H433" s="407"/>
      <c r="I433" s="211" t="s">
        <v>122</v>
      </c>
      <c r="J433" s="75" t="s">
        <v>594</v>
      </c>
      <c r="K433" s="176"/>
    </row>
    <row r="434" spans="1:11" ht="15.6">
      <c r="A434" s="212">
        <v>46085</v>
      </c>
      <c r="B434" s="75" t="s">
        <v>1027</v>
      </c>
      <c r="C434" s="75" t="s">
        <v>584</v>
      </c>
      <c r="D434" s="75" t="s">
        <v>259</v>
      </c>
      <c r="E434" s="75"/>
      <c r="F434" s="75">
        <v>500</v>
      </c>
      <c r="G434" s="406"/>
      <c r="H434" s="407"/>
      <c r="I434" s="211" t="s">
        <v>122</v>
      </c>
      <c r="J434" s="75" t="s">
        <v>594</v>
      </c>
      <c r="K434" s="176"/>
    </row>
    <row r="435" spans="1:11" ht="15.6">
      <c r="A435" s="212">
        <v>46085</v>
      </c>
      <c r="B435" s="75" t="s">
        <v>1031</v>
      </c>
      <c r="C435" s="75" t="s">
        <v>584</v>
      </c>
      <c r="D435" s="75" t="s">
        <v>259</v>
      </c>
      <c r="E435" s="75"/>
      <c r="F435" s="75">
        <v>500</v>
      </c>
      <c r="G435" s="406"/>
      <c r="H435" s="407"/>
      <c r="I435" s="211" t="s">
        <v>122</v>
      </c>
      <c r="J435" s="75" t="s">
        <v>594</v>
      </c>
      <c r="K435" s="176"/>
    </row>
    <row r="436" spans="1:11" ht="15.6">
      <c r="A436" s="212">
        <v>46085</v>
      </c>
      <c r="B436" s="75" t="s">
        <v>586</v>
      </c>
      <c r="C436" s="75" t="s">
        <v>102</v>
      </c>
      <c r="D436" s="75" t="s">
        <v>259</v>
      </c>
      <c r="E436" s="75">
        <v>71000</v>
      </c>
      <c r="F436" s="75"/>
      <c r="G436" s="406"/>
      <c r="H436" s="407"/>
      <c r="I436" s="211" t="s">
        <v>122</v>
      </c>
      <c r="J436" s="75" t="s">
        <v>598</v>
      </c>
      <c r="K436" s="176"/>
    </row>
    <row r="437" spans="1:11" ht="15.6">
      <c r="A437" s="212">
        <v>46085</v>
      </c>
      <c r="B437" s="75" t="s">
        <v>1032</v>
      </c>
      <c r="C437" s="75" t="s">
        <v>587</v>
      </c>
      <c r="D437" s="75" t="s">
        <v>259</v>
      </c>
      <c r="E437" s="75"/>
      <c r="F437" s="75">
        <v>2000</v>
      </c>
      <c r="G437" s="406"/>
      <c r="H437" s="407"/>
      <c r="I437" s="211" t="s">
        <v>122</v>
      </c>
      <c r="J437" s="75" t="s">
        <v>596</v>
      </c>
      <c r="K437" s="176"/>
    </row>
    <row r="438" spans="1:11" ht="15.6">
      <c r="A438" s="212">
        <v>46086</v>
      </c>
      <c r="B438" s="75" t="s">
        <v>1027</v>
      </c>
      <c r="C438" s="75" t="s">
        <v>584</v>
      </c>
      <c r="D438" s="75" t="s">
        <v>259</v>
      </c>
      <c r="E438" s="75"/>
      <c r="F438" s="75">
        <v>500</v>
      </c>
      <c r="G438" s="406"/>
      <c r="H438" s="407"/>
      <c r="I438" s="211" t="s">
        <v>122</v>
      </c>
      <c r="J438" s="75" t="s">
        <v>594</v>
      </c>
      <c r="K438" s="176"/>
    </row>
    <row r="439" spans="1:11" ht="15.6">
      <c r="A439" s="212">
        <v>46086</v>
      </c>
      <c r="B439" s="75" t="s">
        <v>1027</v>
      </c>
      <c r="C439" s="75" t="s">
        <v>584</v>
      </c>
      <c r="D439" s="75" t="s">
        <v>259</v>
      </c>
      <c r="E439" s="75"/>
      <c r="F439" s="75">
        <v>500</v>
      </c>
      <c r="G439" s="406"/>
      <c r="H439" s="407"/>
      <c r="I439" s="211" t="s">
        <v>122</v>
      </c>
      <c r="J439" s="75" t="s">
        <v>594</v>
      </c>
      <c r="K439" s="176"/>
    </row>
    <row r="440" spans="1:11" ht="15.6">
      <c r="A440" s="212">
        <v>46086</v>
      </c>
      <c r="B440" s="75" t="s">
        <v>1027</v>
      </c>
      <c r="C440" s="75" t="s">
        <v>584</v>
      </c>
      <c r="D440" s="75" t="s">
        <v>259</v>
      </c>
      <c r="E440" s="75"/>
      <c r="F440" s="75">
        <v>500</v>
      </c>
      <c r="G440" s="406"/>
      <c r="H440" s="407"/>
      <c r="I440" s="211" t="s">
        <v>122</v>
      </c>
      <c r="J440" s="75" t="s">
        <v>594</v>
      </c>
      <c r="K440" s="176"/>
    </row>
    <row r="441" spans="1:11" ht="15.6">
      <c r="A441" s="212">
        <v>46086</v>
      </c>
      <c r="B441" s="75" t="s">
        <v>1027</v>
      </c>
      <c r="C441" s="75" t="s">
        <v>584</v>
      </c>
      <c r="D441" s="75" t="s">
        <v>259</v>
      </c>
      <c r="E441" s="75"/>
      <c r="F441" s="75">
        <v>500</v>
      </c>
      <c r="G441" s="406"/>
      <c r="H441" s="407"/>
      <c r="I441" s="211" t="s">
        <v>122</v>
      </c>
      <c r="J441" s="75" t="s">
        <v>594</v>
      </c>
      <c r="K441" s="176"/>
    </row>
    <row r="442" spans="1:11" ht="15.6">
      <c r="A442" s="212">
        <v>46086</v>
      </c>
      <c r="B442" s="75" t="s">
        <v>1027</v>
      </c>
      <c r="C442" s="75" t="s">
        <v>584</v>
      </c>
      <c r="D442" s="75" t="s">
        <v>259</v>
      </c>
      <c r="E442" s="75"/>
      <c r="F442" s="75">
        <v>500</v>
      </c>
      <c r="G442" s="406"/>
      <c r="H442" s="407"/>
      <c r="I442" s="211" t="s">
        <v>122</v>
      </c>
      <c r="J442" s="75" t="s">
        <v>594</v>
      </c>
      <c r="K442" s="176"/>
    </row>
    <row r="443" spans="1:11" ht="15.6">
      <c r="A443" s="212">
        <v>46086</v>
      </c>
      <c r="B443" s="75" t="s">
        <v>540</v>
      </c>
      <c r="C443" s="75" t="s">
        <v>587</v>
      </c>
      <c r="D443" s="75" t="s">
        <v>259</v>
      </c>
      <c r="E443" s="75"/>
      <c r="F443" s="75">
        <v>1650</v>
      </c>
      <c r="G443" s="406"/>
      <c r="H443" s="407"/>
      <c r="I443" s="211" t="s">
        <v>122</v>
      </c>
      <c r="J443" s="75" t="s">
        <v>596</v>
      </c>
      <c r="K443" s="176"/>
    </row>
    <row r="444" spans="1:11" ht="15.6">
      <c r="A444" s="212">
        <v>46086</v>
      </c>
      <c r="B444" s="75" t="s">
        <v>1027</v>
      </c>
      <c r="C444" s="75" t="s">
        <v>584</v>
      </c>
      <c r="D444" s="75" t="s">
        <v>259</v>
      </c>
      <c r="E444" s="75"/>
      <c r="F444" s="75">
        <v>500</v>
      </c>
      <c r="G444" s="406"/>
      <c r="H444" s="407"/>
      <c r="I444" s="211" t="s">
        <v>122</v>
      </c>
      <c r="J444" s="75" t="s">
        <v>594</v>
      </c>
      <c r="K444" s="176"/>
    </row>
    <row r="445" spans="1:11" ht="15.6">
      <c r="A445" s="212">
        <v>46086</v>
      </c>
      <c r="B445" s="172" t="s">
        <v>1034</v>
      </c>
      <c r="C445" s="75" t="s">
        <v>406</v>
      </c>
      <c r="D445" s="75" t="s">
        <v>259</v>
      </c>
      <c r="E445" s="75"/>
      <c r="F445" s="75">
        <v>30000</v>
      </c>
      <c r="G445" s="406"/>
      <c r="H445" s="407"/>
      <c r="I445" s="211" t="s">
        <v>122</v>
      </c>
      <c r="J445" s="75" t="s">
        <v>599</v>
      </c>
      <c r="K445" s="176"/>
    </row>
    <row r="446" spans="1:11" ht="15.6">
      <c r="A446" s="212">
        <v>46086</v>
      </c>
      <c r="B446" s="75" t="s">
        <v>1035</v>
      </c>
      <c r="C446" s="75" t="s">
        <v>402</v>
      </c>
      <c r="D446" s="75" t="s">
        <v>259</v>
      </c>
      <c r="E446" s="75"/>
      <c r="F446" s="75">
        <v>7000</v>
      </c>
      <c r="G446" s="406"/>
      <c r="H446" s="407"/>
      <c r="I446" s="211" t="s">
        <v>122</v>
      </c>
      <c r="J446" s="75" t="s">
        <v>600</v>
      </c>
      <c r="K446" s="176"/>
    </row>
    <row r="447" spans="1:11" ht="15.6">
      <c r="A447" s="212">
        <v>46087</v>
      </c>
      <c r="B447" s="75" t="s">
        <v>1027</v>
      </c>
      <c r="C447" s="75" t="s">
        <v>584</v>
      </c>
      <c r="D447" s="75" t="s">
        <v>259</v>
      </c>
      <c r="E447" s="75"/>
      <c r="F447" s="75">
        <v>500</v>
      </c>
      <c r="G447" s="406"/>
      <c r="H447" s="407"/>
      <c r="I447" s="211" t="s">
        <v>122</v>
      </c>
      <c r="J447" s="75" t="s">
        <v>594</v>
      </c>
      <c r="K447" s="176"/>
    </row>
    <row r="448" spans="1:11" ht="15.6">
      <c r="A448" s="212">
        <v>46087</v>
      </c>
      <c r="B448" s="75" t="s">
        <v>1027</v>
      </c>
      <c r="C448" s="75" t="s">
        <v>584</v>
      </c>
      <c r="D448" s="75" t="s">
        <v>259</v>
      </c>
      <c r="E448" s="75"/>
      <c r="F448" s="75">
        <v>500</v>
      </c>
      <c r="G448" s="406"/>
      <c r="H448" s="407"/>
      <c r="I448" s="211" t="s">
        <v>122</v>
      </c>
      <c r="J448" s="75" t="s">
        <v>594</v>
      </c>
      <c r="K448" s="176"/>
    </row>
    <row r="449" spans="1:11" ht="15.6">
      <c r="A449" s="212">
        <v>46087</v>
      </c>
      <c r="B449" s="75" t="s">
        <v>1027</v>
      </c>
      <c r="C449" s="75" t="s">
        <v>584</v>
      </c>
      <c r="D449" s="75" t="s">
        <v>259</v>
      </c>
      <c r="E449" s="75"/>
      <c r="F449" s="75">
        <v>500</v>
      </c>
      <c r="G449" s="406"/>
      <c r="H449" s="407"/>
      <c r="I449" s="211" t="s">
        <v>122</v>
      </c>
      <c r="J449" s="75" t="s">
        <v>594</v>
      </c>
      <c r="K449" s="176"/>
    </row>
    <row r="450" spans="1:11" ht="15.6">
      <c r="A450" s="212">
        <v>46087</v>
      </c>
      <c r="B450" s="75" t="s">
        <v>1027</v>
      </c>
      <c r="C450" s="75" t="s">
        <v>584</v>
      </c>
      <c r="D450" s="75" t="s">
        <v>259</v>
      </c>
      <c r="E450" s="75"/>
      <c r="F450" s="75">
        <v>500</v>
      </c>
      <c r="G450" s="406"/>
      <c r="H450" s="407"/>
      <c r="I450" s="211" t="s">
        <v>122</v>
      </c>
      <c r="J450" s="75" t="s">
        <v>594</v>
      </c>
      <c r="K450" s="176"/>
    </row>
    <row r="451" spans="1:11" ht="15.6">
      <c r="A451" s="212">
        <v>46087</v>
      </c>
      <c r="B451" s="75" t="s">
        <v>1027</v>
      </c>
      <c r="C451" s="75" t="s">
        <v>584</v>
      </c>
      <c r="D451" s="75" t="s">
        <v>259</v>
      </c>
      <c r="E451" s="75"/>
      <c r="F451" s="75">
        <v>500</v>
      </c>
      <c r="G451" s="406"/>
      <c r="H451" s="407"/>
      <c r="I451" s="211" t="s">
        <v>122</v>
      </c>
      <c r="J451" s="75" t="s">
        <v>594</v>
      </c>
      <c r="K451" s="176"/>
    </row>
    <row r="452" spans="1:11" ht="15.6">
      <c r="A452" s="212">
        <v>46088</v>
      </c>
      <c r="B452" s="75" t="s">
        <v>1031</v>
      </c>
      <c r="C452" s="75" t="s">
        <v>584</v>
      </c>
      <c r="D452" s="75" t="s">
        <v>259</v>
      </c>
      <c r="E452" s="75"/>
      <c r="F452" s="75">
        <v>500</v>
      </c>
      <c r="G452" s="406"/>
      <c r="H452" s="407"/>
      <c r="I452" s="211" t="s">
        <v>122</v>
      </c>
      <c r="J452" s="75" t="s">
        <v>594</v>
      </c>
      <c r="K452" s="176"/>
    </row>
    <row r="453" spans="1:11" ht="15.6">
      <c r="A453" s="212">
        <v>46088</v>
      </c>
      <c r="B453" s="75" t="s">
        <v>1031</v>
      </c>
      <c r="C453" s="75" t="s">
        <v>584</v>
      </c>
      <c r="D453" s="75" t="s">
        <v>259</v>
      </c>
      <c r="E453" s="75"/>
      <c r="F453" s="75">
        <v>500</v>
      </c>
      <c r="G453" s="406"/>
      <c r="H453" s="407"/>
      <c r="I453" s="211" t="s">
        <v>122</v>
      </c>
      <c r="J453" s="75" t="s">
        <v>594</v>
      </c>
      <c r="K453" s="176"/>
    </row>
    <row r="454" spans="1:11" ht="15.6">
      <c r="A454" s="212">
        <v>46088</v>
      </c>
      <c r="B454" s="75" t="s">
        <v>1027</v>
      </c>
      <c r="C454" s="75" t="s">
        <v>584</v>
      </c>
      <c r="D454" s="75" t="s">
        <v>259</v>
      </c>
      <c r="E454" s="75"/>
      <c r="F454" s="75">
        <v>500</v>
      </c>
      <c r="G454" s="406"/>
      <c r="H454" s="407"/>
      <c r="I454" s="211" t="s">
        <v>122</v>
      </c>
      <c r="J454" s="75" t="s">
        <v>594</v>
      </c>
      <c r="K454" s="176"/>
    </row>
    <row r="455" spans="1:11" ht="15.6">
      <c r="A455" s="212">
        <v>46088</v>
      </c>
      <c r="B455" s="75" t="s">
        <v>1027</v>
      </c>
      <c r="C455" s="75" t="s">
        <v>584</v>
      </c>
      <c r="D455" s="75" t="s">
        <v>259</v>
      </c>
      <c r="E455" s="75"/>
      <c r="F455" s="75">
        <v>500</v>
      </c>
      <c r="G455" s="406"/>
      <c r="H455" s="407"/>
      <c r="I455" s="211" t="s">
        <v>122</v>
      </c>
      <c r="J455" s="75" t="s">
        <v>594</v>
      </c>
      <c r="K455" s="176"/>
    </row>
    <row r="456" spans="1:11" ht="15.6">
      <c r="A456" s="212">
        <v>46088</v>
      </c>
      <c r="B456" s="75" t="s">
        <v>1027</v>
      </c>
      <c r="C456" s="75" t="s">
        <v>584</v>
      </c>
      <c r="D456" s="75" t="s">
        <v>259</v>
      </c>
      <c r="E456" s="75"/>
      <c r="F456" s="75">
        <v>500</v>
      </c>
      <c r="G456" s="406"/>
      <c r="H456" s="407"/>
      <c r="I456" s="211" t="s">
        <v>122</v>
      </c>
      <c r="J456" s="75" t="s">
        <v>594</v>
      </c>
      <c r="K456" s="176"/>
    </row>
    <row r="457" spans="1:11" ht="15.6">
      <c r="A457" s="212">
        <v>46088</v>
      </c>
      <c r="B457" s="75" t="s">
        <v>1027</v>
      </c>
      <c r="C457" s="75" t="s">
        <v>584</v>
      </c>
      <c r="D457" s="75" t="s">
        <v>259</v>
      </c>
      <c r="E457" s="75"/>
      <c r="F457" s="75">
        <v>500</v>
      </c>
      <c r="G457" s="406"/>
      <c r="H457" s="407"/>
      <c r="I457" s="211" t="s">
        <v>122</v>
      </c>
      <c r="J457" s="75" t="s">
        <v>594</v>
      </c>
      <c r="K457" s="176"/>
    </row>
    <row r="458" spans="1:11" ht="15.6">
      <c r="A458" s="212">
        <v>46088</v>
      </c>
      <c r="B458" s="75" t="s">
        <v>1040</v>
      </c>
      <c r="C458" s="75" t="s">
        <v>402</v>
      </c>
      <c r="D458" s="75" t="s">
        <v>259</v>
      </c>
      <c r="E458" s="75"/>
      <c r="F458" s="75">
        <v>12000</v>
      </c>
      <c r="G458" s="406"/>
      <c r="H458" s="407"/>
      <c r="I458" s="211" t="s">
        <v>122</v>
      </c>
      <c r="J458" s="75" t="s">
        <v>601</v>
      </c>
      <c r="K458" s="176"/>
    </row>
    <row r="459" spans="1:11" ht="15.6">
      <c r="A459" s="212">
        <v>46088</v>
      </c>
      <c r="B459" s="75" t="s">
        <v>540</v>
      </c>
      <c r="C459" s="75" t="s">
        <v>587</v>
      </c>
      <c r="D459" s="75" t="s">
        <v>259</v>
      </c>
      <c r="E459" s="75"/>
      <c r="F459" s="75">
        <v>2000</v>
      </c>
      <c r="G459" s="406"/>
      <c r="H459" s="407"/>
      <c r="I459" s="211" t="s">
        <v>122</v>
      </c>
      <c r="J459" s="75" t="s">
        <v>596</v>
      </c>
      <c r="K459" s="176"/>
    </row>
    <row r="460" spans="1:11" ht="15.6">
      <c r="A460" s="212">
        <v>46089</v>
      </c>
      <c r="B460" s="172" t="s">
        <v>1034</v>
      </c>
      <c r="C460" s="75" t="s">
        <v>406</v>
      </c>
      <c r="D460" s="75" t="s">
        <v>259</v>
      </c>
      <c r="E460" s="75"/>
      <c r="F460" s="75">
        <v>20000</v>
      </c>
      <c r="G460" s="406"/>
      <c r="H460" s="407"/>
      <c r="I460" s="211" t="s">
        <v>122</v>
      </c>
      <c r="J460" s="75" t="s">
        <v>602</v>
      </c>
      <c r="K460" s="176"/>
    </row>
    <row r="461" spans="1:11" ht="15.6">
      <c r="A461" s="212">
        <v>46089</v>
      </c>
      <c r="B461" s="75" t="s">
        <v>1027</v>
      </c>
      <c r="C461" s="75" t="s">
        <v>584</v>
      </c>
      <c r="D461" s="75" t="s">
        <v>259</v>
      </c>
      <c r="E461" s="75"/>
      <c r="F461" s="75">
        <v>500</v>
      </c>
      <c r="G461" s="406"/>
      <c r="H461" s="407"/>
      <c r="I461" s="211" t="s">
        <v>122</v>
      </c>
      <c r="J461" s="75" t="s">
        <v>594</v>
      </c>
      <c r="K461" s="176"/>
    </row>
    <row r="462" spans="1:11" ht="15.6">
      <c r="A462" s="212">
        <v>46089</v>
      </c>
      <c r="B462" s="75" t="s">
        <v>1027</v>
      </c>
      <c r="C462" s="75" t="s">
        <v>584</v>
      </c>
      <c r="D462" s="75" t="s">
        <v>259</v>
      </c>
      <c r="E462" s="75"/>
      <c r="F462" s="75">
        <v>1000</v>
      </c>
      <c r="G462" s="406"/>
      <c r="H462" s="407"/>
      <c r="I462" s="211" t="s">
        <v>122</v>
      </c>
      <c r="J462" s="75" t="s">
        <v>594</v>
      </c>
      <c r="K462" s="176"/>
    </row>
    <row r="463" spans="1:11" ht="15.6">
      <c r="A463" s="212">
        <v>46090</v>
      </c>
      <c r="B463" s="75" t="s">
        <v>588</v>
      </c>
      <c r="C463" s="75" t="s">
        <v>102</v>
      </c>
      <c r="D463" s="75" t="s">
        <v>259</v>
      </c>
      <c r="E463" s="75"/>
      <c r="F463" s="75">
        <v>30000</v>
      </c>
      <c r="G463" s="406"/>
      <c r="H463" s="407"/>
      <c r="I463" s="211" t="s">
        <v>122</v>
      </c>
      <c r="J463" s="75" t="s">
        <v>603</v>
      </c>
      <c r="K463" s="176"/>
    </row>
    <row r="464" spans="1:11" ht="15.6">
      <c r="A464" s="212">
        <v>46090</v>
      </c>
      <c r="B464" s="75" t="s">
        <v>583</v>
      </c>
      <c r="C464" s="75" t="s">
        <v>102</v>
      </c>
      <c r="D464" s="75" t="s">
        <v>259</v>
      </c>
      <c r="E464" s="75">
        <v>110000</v>
      </c>
      <c r="F464" s="75"/>
      <c r="G464" s="406"/>
      <c r="H464" s="407"/>
      <c r="I464" s="211" t="s">
        <v>122</v>
      </c>
      <c r="J464" s="75" t="s">
        <v>604</v>
      </c>
      <c r="K464" s="176"/>
    </row>
    <row r="465" spans="1:11" ht="15.6">
      <c r="A465" s="212">
        <v>46091</v>
      </c>
      <c r="B465" s="75" t="s">
        <v>1025</v>
      </c>
      <c r="C465" s="75" t="s">
        <v>584</v>
      </c>
      <c r="D465" s="75" t="s">
        <v>259</v>
      </c>
      <c r="E465" s="75"/>
      <c r="F465" s="75">
        <v>1000</v>
      </c>
      <c r="G465" s="406"/>
      <c r="H465" s="407"/>
      <c r="I465" s="211" t="s">
        <v>122</v>
      </c>
      <c r="J465" s="75" t="s">
        <v>594</v>
      </c>
      <c r="K465" s="176"/>
    </row>
    <row r="466" spans="1:11" ht="15.6">
      <c r="A466" s="212">
        <v>46091</v>
      </c>
      <c r="B466" s="75" t="s">
        <v>1025</v>
      </c>
      <c r="C466" s="75" t="s">
        <v>584</v>
      </c>
      <c r="D466" s="75" t="s">
        <v>259</v>
      </c>
      <c r="E466" s="75"/>
      <c r="F466" s="75">
        <v>1000</v>
      </c>
      <c r="G466" s="406"/>
      <c r="H466" s="407"/>
      <c r="I466" s="211" t="s">
        <v>122</v>
      </c>
      <c r="J466" s="75" t="s">
        <v>594</v>
      </c>
      <c r="K466" s="176"/>
    </row>
    <row r="467" spans="1:11" ht="15.6">
      <c r="A467" s="212">
        <v>46091</v>
      </c>
      <c r="B467" s="75" t="s">
        <v>1025</v>
      </c>
      <c r="C467" s="75" t="s">
        <v>584</v>
      </c>
      <c r="D467" s="75" t="s">
        <v>259</v>
      </c>
      <c r="E467" s="75"/>
      <c r="F467" s="75">
        <v>1000</v>
      </c>
      <c r="G467" s="406"/>
      <c r="H467" s="407"/>
      <c r="I467" s="211" t="s">
        <v>122</v>
      </c>
      <c r="J467" s="75" t="s">
        <v>594</v>
      </c>
      <c r="K467" s="176"/>
    </row>
    <row r="468" spans="1:11" ht="15.6">
      <c r="A468" s="212">
        <v>46091</v>
      </c>
      <c r="B468" s="75" t="s">
        <v>1025</v>
      </c>
      <c r="C468" s="75" t="s">
        <v>584</v>
      </c>
      <c r="D468" s="75" t="s">
        <v>259</v>
      </c>
      <c r="E468" s="75"/>
      <c r="F468" s="75">
        <v>1000</v>
      </c>
      <c r="G468" s="406"/>
      <c r="H468" s="407"/>
      <c r="I468" s="211" t="s">
        <v>122</v>
      </c>
      <c r="J468" s="75" t="s">
        <v>594</v>
      </c>
      <c r="K468" s="176"/>
    </row>
    <row r="469" spans="1:11" ht="15.6">
      <c r="A469" s="212">
        <v>46091</v>
      </c>
      <c r="B469" s="165" t="s">
        <v>589</v>
      </c>
      <c r="C469" s="165" t="s">
        <v>110</v>
      </c>
      <c r="D469" s="211" t="s">
        <v>259</v>
      </c>
      <c r="E469" s="75">
        <v>7500</v>
      </c>
      <c r="F469" s="75"/>
      <c r="G469" s="406"/>
      <c r="H469" s="407"/>
      <c r="I469" s="211" t="s">
        <v>122</v>
      </c>
      <c r="J469" s="75" t="s">
        <v>605</v>
      </c>
      <c r="K469" s="176"/>
    </row>
    <row r="470" spans="1:11" ht="15.6">
      <c r="A470" s="212">
        <v>46091</v>
      </c>
      <c r="B470" s="165" t="s">
        <v>589</v>
      </c>
      <c r="C470" s="165" t="s">
        <v>110</v>
      </c>
      <c r="D470" s="211" t="s">
        <v>259</v>
      </c>
      <c r="E470" s="75"/>
      <c r="F470" s="75">
        <v>7500</v>
      </c>
      <c r="G470" s="406"/>
      <c r="H470" s="407"/>
      <c r="I470" s="211" t="s">
        <v>122</v>
      </c>
      <c r="J470" s="75" t="s">
        <v>605</v>
      </c>
      <c r="K470" s="176"/>
    </row>
    <row r="471" spans="1:11" ht="15.6">
      <c r="A471" s="341">
        <v>46091</v>
      </c>
      <c r="B471" s="124" t="s">
        <v>1045</v>
      </c>
      <c r="C471" s="124" t="s">
        <v>402</v>
      </c>
      <c r="D471" s="124" t="s">
        <v>259</v>
      </c>
      <c r="E471" s="124"/>
      <c r="F471" s="124">
        <v>12000</v>
      </c>
      <c r="G471" s="406"/>
      <c r="H471" s="407"/>
      <c r="I471" s="172" t="s">
        <v>122</v>
      </c>
      <c r="J471" s="75" t="s">
        <v>606</v>
      </c>
      <c r="K471" s="176"/>
    </row>
    <row r="472" spans="1:11" ht="15.6">
      <c r="A472" s="212">
        <v>46091</v>
      </c>
      <c r="B472" s="75" t="s">
        <v>545</v>
      </c>
      <c r="C472" s="75" t="s">
        <v>587</v>
      </c>
      <c r="D472" s="75" t="s">
        <v>259</v>
      </c>
      <c r="E472" s="75"/>
      <c r="F472" s="75">
        <v>5500</v>
      </c>
      <c r="G472" s="406"/>
      <c r="H472" s="407"/>
      <c r="I472" s="211" t="s">
        <v>122</v>
      </c>
      <c r="J472" s="75" t="s">
        <v>596</v>
      </c>
      <c r="K472" s="176"/>
    </row>
    <row r="473" spans="1:11" ht="15.6">
      <c r="A473" s="212">
        <v>46092</v>
      </c>
      <c r="B473" s="211" t="s">
        <v>1080</v>
      </c>
      <c r="C473" s="75" t="s">
        <v>406</v>
      </c>
      <c r="D473" s="75" t="s">
        <v>259</v>
      </c>
      <c r="E473" s="75"/>
      <c r="F473" s="75">
        <v>250000</v>
      </c>
      <c r="G473" s="406"/>
      <c r="H473" s="407"/>
      <c r="I473" s="211" t="s">
        <v>122</v>
      </c>
      <c r="J473" s="75" t="s">
        <v>607</v>
      </c>
      <c r="K473" s="176"/>
    </row>
    <row r="474" spans="1:11" ht="15.6">
      <c r="A474" s="212">
        <v>46092</v>
      </c>
      <c r="B474" s="75" t="s">
        <v>1025</v>
      </c>
      <c r="C474" s="75" t="s">
        <v>584</v>
      </c>
      <c r="D474" s="75" t="s">
        <v>259</v>
      </c>
      <c r="E474" s="75"/>
      <c r="F474" s="75">
        <v>1000</v>
      </c>
      <c r="G474" s="406"/>
      <c r="H474" s="407"/>
      <c r="I474" s="211" t="s">
        <v>122</v>
      </c>
      <c r="J474" s="75" t="s">
        <v>594</v>
      </c>
      <c r="K474" s="176"/>
    </row>
    <row r="475" spans="1:11" ht="15.6">
      <c r="A475" s="212">
        <v>46092</v>
      </c>
      <c r="B475" s="75" t="s">
        <v>1025</v>
      </c>
      <c r="C475" s="75" t="s">
        <v>584</v>
      </c>
      <c r="D475" s="75" t="s">
        <v>259</v>
      </c>
      <c r="E475" s="75"/>
      <c r="F475" s="75">
        <v>500</v>
      </c>
      <c r="G475" s="406"/>
      <c r="H475" s="407"/>
      <c r="I475" s="211" t="s">
        <v>122</v>
      </c>
      <c r="J475" s="75" t="s">
        <v>594</v>
      </c>
      <c r="K475" s="176"/>
    </row>
    <row r="476" spans="1:11" ht="15.6">
      <c r="A476" s="212">
        <v>46093</v>
      </c>
      <c r="B476" s="172" t="s">
        <v>1034</v>
      </c>
      <c r="C476" s="75" t="s">
        <v>406</v>
      </c>
      <c r="D476" s="75" t="s">
        <v>259</v>
      </c>
      <c r="E476" s="75"/>
      <c r="F476" s="75">
        <v>10000</v>
      </c>
      <c r="G476" s="406"/>
      <c r="H476" s="407"/>
      <c r="I476" s="211" t="s">
        <v>122</v>
      </c>
      <c r="J476" s="75" t="s">
        <v>608</v>
      </c>
      <c r="K476" s="176"/>
    </row>
    <row r="477" spans="1:11" ht="15.6">
      <c r="A477" s="212">
        <v>46093</v>
      </c>
      <c r="B477" s="75" t="s">
        <v>1029</v>
      </c>
      <c r="C477" s="75" t="s">
        <v>584</v>
      </c>
      <c r="D477" s="75" t="s">
        <v>259</v>
      </c>
      <c r="E477" s="75"/>
      <c r="F477" s="75">
        <v>500</v>
      </c>
      <c r="G477" s="406"/>
      <c r="H477" s="407"/>
      <c r="I477" s="211" t="s">
        <v>122</v>
      </c>
      <c r="J477" s="75" t="s">
        <v>594</v>
      </c>
      <c r="K477" s="176"/>
    </row>
    <row r="478" spans="1:11" ht="15.6">
      <c r="A478" s="212">
        <v>46093</v>
      </c>
      <c r="B478" s="75" t="s">
        <v>1035</v>
      </c>
      <c r="C478" s="75" t="s">
        <v>402</v>
      </c>
      <c r="D478" s="75" t="s">
        <v>259</v>
      </c>
      <c r="E478" s="75"/>
      <c r="F478" s="75">
        <v>2000</v>
      </c>
      <c r="G478" s="406"/>
      <c r="H478" s="407"/>
      <c r="I478" s="211" t="s">
        <v>122</v>
      </c>
      <c r="J478" s="75" t="s">
        <v>609</v>
      </c>
      <c r="K478" s="176"/>
    </row>
    <row r="479" spans="1:11" ht="15.6">
      <c r="A479" s="212">
        <v>46093</v>
      </c>
      <c r="B479" s="75" t="s">
        <v>1049</v>
      </c>
      <c r="C479" s="75" t="s">
        <v>584</v>
      </c>
      <c r="D479" s="75" t="s">
        <v>259</v>
      </c>
      <c r="E479" s="75"/>
      <c r="F479" s="75">
        <v>1000</v>
      </c>
      <c r="G479" s="406"/>
      <c r="H479" s="407"/>
      <c r="I479" s="211" t="s">
        <v>122</v>
      </c>
      <c r="J479" s="75" t="s">
        <v>594</v>
      </c>
      <c r="K479" s="176"/>
    </row>
    <row r="480" spans="1:11" ht="15.6">
      <c r="A480" s="212">
        <v>46093</v>
      </c>
      <c r="B480" s="75" t="s">
        <v>1027</v>
      </c>
      <c r="C480" s="75" t="s">
        <v>584</v>
      </c>
      <c r="D480" s="75" t="s">
        <v>259</v>
      </c>
      <c r="E480" s="75"/>
      <c r="F480" s="75">
        <v>500</v>
      </c>
      <c r="G480" s="406"/>
      <c r="H480" s="407"/>
      <c r="I480" s="211" t="s">
        <v>122</v>
      </c>
      <c r="J480" s="75" t="s">
        <v>594</v>
      </c>
      <c r="K480" s="176"/>
    </row>
    <row r="481" spans="1:11" ht="15.6">
      <c r="A481" s="212">
        <v>46093</v>
      </c>
      <c r="B481" s="75" t="s">
        <v>1027</v>
      </c>
      <c r="C481" s="75" t="s">
        <v>584</v>
      </c>
      <c r="D481" s="75" t="s">
        <v>259</v>
      </c>
      <c r="E481" s="75"/>
      <c r="F481" s="75">
        <v>500</v>
      </c>
      <c r="G481" s="406"/>
      <c r="H481" s="407"/>
      <c r="I481" s="211" t="s">
        <v>122</v>
      </c>
      <c r="J481" s="75" t="s">
        <v>594</v>
      </c>
      <c r="K481" s="176"/>
    </row>
    <row r="482" spans="1:11" ht="15.6">
      <c r="A482" s="212">
        <v>46093</v>
      </c>
      <c r="B482" s="75" t="s">
        <v>1027</v>
      </c>
      <c r="C482" s="75" t="s">
        <v>584</v>
      </c>
      <c r="D482" s="75" t="s">
        <v>259</v>
      </c>
      <c r="E482" s="75"/>
      <c r="F482" s="75">
        <v>500</v>
      </c>
      <c r="G482" s="406"/>
      <c r="H482" s="407"/>
      <c r="I482" s="211" t="s">
        <v>122</v>
      </c>
      <c r="J482" s="75" t="s">
        <v>594</v>
      </c>
      <c r="K482" s="176"/>
    </row>
    <row r="483" spans="1:11" ht="15.6">
      <c r="A483" s="212">
        <v>46093</v>
      </c>
      <c r="B483" s="75" t="s">
        <v>1027</v>
      </c>
      <c r="C483" s="75" t="s">
        <v>584</v>
      </c>
      <c r="D483" s="75" t="s">
        <v>259</v>
      </c>
      <c r="E483" s="75"/>
      <c r="F483" s="75">
        <v>500</v>
      </c>
      <c r="G483" s="406"/>
      <c r="H483" s="407"/>
      <c r="I483" s="211" t="s">
        <v>122</v>
      </c>
      <c r="J483" s="75" t="s">
        <v>594</v>
      </c>
      <c r="K483" s="176"/>
    </row>
    <row r="484" spans="1:11" ht="15.6">
      <c r="A484" s="212">
        <v>46093</v>
      </c>
      <c r="B484" s="75" t="s">
        <v>1027</v>
      </c>
      <c r="C484" s="75" t="s">
        <v>584</v>
      </c>
      <c r="D484" s="75" t="s">
        <v>259</v>
      </c>
      <c r="E484" s="75"/>
      <c r="F484" s="75">
        <v>500</v>
      </c>
      <c r="G484" s="406"/>
      <c r="H484" s="407"/>
      <c r="I484" s="211" t="s">
        <v>122</v>
      </c>
      <c r="J484" s="75" t="s">
        <v>594</v>
      </c>
      <c r="K484" s="176"/>
    </row>
    <row r="485" spans="1:11" ht="15.6">
      <c r="A485" s="212">
        <v>46093</v>
      </c>
      <c r="B485" s="75" t="s">
        <v>1027</v>
      </c>
      <c r="C485" s="75" t="s">
        <v>584</v>
      </c>
      <c r="D485" s="75" t="s">
        <v>259</v>
      </c>
      <c r="E485" s="75"/>
      <c r="F485" s="75">
        <v>500</v>
      </c>
      <c r="G485" s="406"/>
      <c r="H485" s="407"/>
      <c r="I485" s="211" t="s">
        <v>122</v>
      </c>
      <c r="J485" s="75" t="s">
        <v>594</v>
      </c>
      <c r="K485" s="176"/>
    </row>
    <row r="486" spans="1:11" ht="15.6">
      <c r="A486" s="212">
        <v>46093</v>
      </c>
      <c r="B486" s="75" t="s">
        <v>1027</v>
      </c>
      <c r="C486" s="75" t="s">
        <v>584</v>
      </c>
      <c r="D486" s="75" t="s">
        <v>259</v>
      </c>
      <c r="E486" s="75"/>
      <c r="F486" s="75">
        <v>500</v>
      </c>
      <c r="G486" s="406"/>
      <c r="H486" s="407"/>
      <c r="I486" s="211" t="s">
        <v>122</v>
      </c>
      <c r="J486" s="75" t="s">
        <v>594</v>
      </c>
      <c r="K486" s="176"/>
    </row>
    <row r="487" spans="1:11" ht="15.6">
      <c r="A487" s="212">
        <v>46093</v>
      </c>
      <c r="B487" s="75" t="s">
        <v>586</v>
      </c>
      <c r="C487" s="75" t="s">
        <v>102</v>
      </c>
      <c r="D487" s="75" t="s">
        <v>259</v>
      </c>
      <c r="E487" s="75">
        <v>113000</v>
      </c>
      <c r="F487" s="75"/>
      <c r="G487" s="406"/>
      <c r="H487" s="407"/>
      <c r="I487" s="211" t="s">
        <v>122</v>
      </c>
      <c r="J487" s="75" t="s">
        <v>610</v>
      </c>
      <c r="K487" s="176"/>
    </row>
    <row r="488" spans="1:11" ht="15.6">
      <c r="A488" s="212">
        <v>46093</v>
      </c>
      <c r="B488" s="75" t="s">
        <v>1081</v>
      </c>
      <c r="C488" s="75" t="s">
        <v>587</v>
      </c>
      <c r="D488" s="75" t="s">
        <v>259</v>
      </c>
      <c r="E488" s="75"/>
      <c r="F488" s="75">
        <v>2000</v>
      </c>
      <c r="G488" s="406"/>
      <c r="H488" s="407"/>
      <c r="I488" s="211" t="s">
        <v>122</v>
      </c>
      <c r="J488" s="75" t="s">
        <v>596</v>
      </c>
      <c r="K488" s="176"/>
    </row>
    <row r="489" spans="1:11" ht="15.6">
      <c r="A489" s="212">
        <v>46094</v>
      </c>
      <c r="B489" s="75" t="s">
        <v>1031</v>
      </c>
      <c r="C489" s="75" t="s">
        <v>584</v>
      </c>
      <c r="D489" s="75" t="s">
        <v>259</v>
      </c>
      <c r="E489" s="75"/>
      <c r="F489" s="75">
        <v>500</v>
      </c>
      <c r="G489" s="406"/>
      <c r="H489" s="407"/>
      <c r="I489" s="211" t="s">
        <v>122</v>
      </c>
      <c r="J489" s="75" t="s">
        <v>594</v>
      </c>
      <c r="K489" s="176"/>
    </row>
    <row r="490" spans="1:11" ht="15.6">
      <c r="A490" s="212">
        <v>46094</v>
      </c>
      <c r="B490" s="75" t="s">
        <v>1027</v>
      </c>
      <c r="C490" s="75" t="s">
        <v>584</v>
      </c>
      <c r="D490" s="75" t="s">
        <v>259</v>
      </c>
      <c r="E490" s="75"/>
      <c r="F490" s="75">
        <v>500</v>
      </c>
      <c r="G490" s="406"/>
      <c r="H490" s="407"/>
      <c r="I490" s="211" t="s">
        <v>122</v>
      </c>
      <c r="J490" s="75" t="s">
        <v>594</v>
      </c>
      <c r="K490" s="176"/>
    </row>
    <row r="491" spans="1:11" ht="15.6">
      <c r="A491" s="212">
        <v>46094</v>
      </c>
      <c r="B491" s="75" t="s">
        <v>1027</v>
      </c>
      <c r="C491" s="75" t="s">
        <v>584</v>
      </c>
      <c r="D491" s="75" t="s">
        <v>259</v>
      </c>
      <c r="E491" s="75"/>
      <c r="F491" s="75">
        <v>500</v>
      </c>
      <c r="G491" s="406"/>
      <c r="H491" s="407"/>
      <c r="I491" s="211" t="s">
        <v>122</v>
      </c>
      <c r="J491" s="75" t="s">
        <v>594</v>
      </c>
      <c r="K491" s="176"/>
    </row>
    <row r="492" spans="1:11" ht="15.6">
      <c r="A492" s="212">
        <v>46094</v>
      </c>
      <c r="B492" s="75" t="s">
        <v>1027</v>
      </c>
      <c r="C492" s="75" t="s">
        <v>584</v>
      </c>
      <c r="D492" s="75" t="s">
        <v>259</v>
      </c>
      <c r="E492" s="75"/>
      <c r="F492" s="75">
        <v>500</v>
      </c>
      <c r="G492" s="406"/>
      <c r="H492" s="407"/>
      <c r="I492" s="211" t="s">
        <v>122</v>
      </c>
      <c r="J492" s="75" t="s">
        <v>594</v>
      </c>
      <c r="K492" s="176"/>
    </row>
    <row r="493" spans="1:11" ht="15.6">
      <c r="A493" s="212">
        <v>46094</v>
      </c>
      <c r="B493" s="75" t="s">
        <v>1054</v>
      </c>
      <c r="C493" s="75" t="s">
        <v>584</v>
      </c>
      <c r="D493" s="75" t="s">
        <v>259</v>
      </c>
      <c r="E493" s="75"/>
      <c r="F493" s="75">
        <v>500</v>
      </c>
      <c r="G493" s="406"/>
      <c r="H493" s="407"/>
      <c r="I493" s="211" t="s">
        <v>122</v>
      </c>
      <c r="J493" s="75" t="s">
        <v>594</v>
      </c>
      <c r="K493" s="176"/>
    </row>
    <row r="494" spans="1:11" ht="15.6">
      <c r="A494" s="212">
        <v>46094</v>
      </c>
      <c r="B494" s="172" t="s">
        <v>1034</v>
      </c>
      <c r="C494" s="75" t="s">
        <v>406</v>
      </c>
      <c r="D494" s="75" t="s">
        <v>259</v>
      </c>
      <c r="E494" s="75"/>
      <c r="F494" s="75">
        <v>10000</v>
      </c>
      <c r="G494" s="406"/>
      <c r="H494" s="407"/>
      <c r="I494" s="211" t="s">
        <v>122</v>
      </c>
      <c r="J494" s="75" t="s">
        <v>611</v>
      </c>
      <c r="K494" s="176"/>
    </row>
    <row r="495" spans="1:11" ht="15.6">
      <c r="A495" s="212">
        <v>46094</v>
      </c>
      <c r="B495" s="75" t="s">
        <v>1035</v>
      </c>
      <c r="C495" s="75" t="s">
        <v>402</v>
      </c>
      <c r="D495" s="75" t="s">
        <v>259</v>
      </c>
      <c r="E495" s="75"/>
      <c r="F495" s="75">
        <v>10000</v>
      </c>
      <c r="G495" s="406"/>
      <c r="H495" s="407"/>
      <c r="I495" s="211" t="s">
        <v>122</v>
      </c>
      <c r="J495" s="75" t="s">
        <v>612</v>
      </c>
      <c r="K495" s="176"/>
    </row>
    <row r="496" spans="1:11" ht="15.6">
      <c r="A496" s="212">
        <v>46095</v>
      </c>
      <c r="B496" s="75" t="s">
        <v>1027</v>
      </c>
      <c r="C496" s="75" t="s">
        <v>584</v>
      </c>
      <c r="D496" s="75" t="s">
        <v>259</v>
      </c>
      <c r="E496" s="75"/>
      <c r="F496" s="75">
        <v>500</v>
      </c>
      <c r="G496" s="406"/>
      <c r="H496" s="407"/>
      <c r="I496" s="211" t="s">
        <v>122</v>
      </c>
      <c r="J496" s="75" t="s">
        <v>594</v>
      </c>
      <c r="K496" s="176"/>
    </row>
    <row r="497" spans="1:11" ht="15.6">
      <c r="A497" s="212">
        <v>46095</v>
      </c>
      <c r="B497" s="75" t="s">
        <v>1027</v>
      </c>
      <c r="C497" s="75" t="s">
        <v>584</v>
      </c>
      <c r="D497" s="75" t="s">
        <v>259</v>
      </c>
      <c r="E497" s="75"/>
      <c r="F497" s="75">
        <v>500</v>
      </c>
      <c r="G497" s="406"/>
      <c r="H497" s="407"/>
      <c r="I497" s="211" t="s">
        <v>122</v>
      </c>
      <c r="J497" s="75" t="s">
        <v>594</v>
      </c>
      <c r="K497" s="176"/>
    </row>
    <row r="498" spans="1:11" ht="15.6">
      <c r="A498" s="212">
        <v>46095</v>
      </c>
      <c r="B498" s="75" t="s">
        <v>1027</v>
      </c>
      <c r="C498" s="75" t="s">
        <v>584</v>
      </c>
      <c r="D498" s="75" t="s">
        <v>259</v>
      </c>
      <c r="E498" s="75"/>
      <c r="F498" s="75">
        <v>500</v>
      </c>
      <c r="G498" s="406"/>
      <c r="H498" s="407"/>
      <c r="I498" s="211" t="s">
        <v>122</v>
      </c>
      <c r="J498" s="75" t="s">
        <v>594</v>
      </c>
      <c r="K498" s="176"/>
    </row>
    <row r="499" spans="1:11" ht="15.6">
      <c r="A499" s="212">
        <v>46095</v>
      </c>
      <c r="B499" s="75" t="s">
        <v>1027</v>
      </c>
      <c r="C499" s="75" t="s">
        <v>584</v>
      </c>
      <c r="D499" s="75" t="s">
        <v>259</v>
      </c>
      <c r="E499" s="75"/>
      <c r="F499" s="75">
        <v>500</v>
      </c>
      <c r="G499" s="406"/>
      <c r="H499" s="407"/>
      <c r="I499" s="211" t="s">
        <v>122</v>
      </c>
      <c r="J499" s="75" t="s">
        <v>594</v>
      </c>
      <c r="K499" s="176"/>
    </row>
    <row r="500" spans="1:11" ht="15.6">
      <c r="A500" s="212">
        <v>46095</v>
      </c>
      <c r="B500" s="75" t="s">
        <v>1027</v>
      </c>
      <c r="C500" s="75" t="s">
        <v>584</v>
      </c>
      <c r="D500" s="75" t="s">
        <v>259</v>
      </c>
      <c r="E500" s="75"/>
      <c r="F500" s="75">
        <v>500</v>
      </c>
      <c r="G500" s="406"/>
      <c r="H500" s="407"/>
      <c r="I500" s="211" t="s">
        <v>122</v>
      </c>
      <c r="J500" s="75" t="s">
        <v>594</v>
      </c>
      <c r="K500" s="176"/>
    </row>
    <row r="501" spans="1:11" ht="15.6">
      <c r="A501" s="212">
        <v>46097</v>
      </c>
      <c r="B501" s="75" t="s">
        <v>1027</v>
      </c>
      <c r="C501" s="75" t="s">
        <v>402</v>
      </c>
      <c r="D501" s="75" t="s">
        <v>259</v>
      </c>
      <c r="E501" s="75"/>
      <c r="F501" s="75">
        <v>6000</v>
      </c>
      <c r="G501" s="406"/>
      <c r="H501" s="407"/>
      <c r="I501" s="211" t="s">
        <v>122</v>
      </c>
      <c r="J501" s="75" t="s">
        <v>613</v>
      </c>
      <c r="K501" s="176"/>
    </row>
    <row r="502" spans="1:11" ht="15.6">
      <c r="A502" s="212">
        <v>46097</v>
      </c>
      <c r="B502" s="75" t="s">
        <v>1031</v>
      </c>
      <c r="C502" s="75" t="s">
        <v>402</v>
      </c>
      <c r="D502" s="75" t="s">
        <v>259</v>
      </c>
      <c r="E502" s="75"/>
      <c r="F502" s="75">
        <v>4000</v>
      </c>
      <c r="G502" s="406"/>
      <c r="H502" s="407"/>
      <c r="I502" s="211" t="s">
        <v>122</v>
      </c>
      <c r="J502" s="75" t="s">
        <v>614</v>
      </c>
      <c r="K502" s="176"/>
    </row>
    <row r="503" spans="1:11" ht="15.6">
      <c r="A503" s="341">
        <v>46097</v>
      </c>
      <c r="B503" s="124" t="s">
        <v>1031</v>
      </c>
      <c r="C503" s="124" t="s">
        <v>402</v>
      </c>
      <c r="D503" s="124" t="s">
        <v>259</v>
      </c>
      <c r="E503" s="124"/>
      <c r="F503" s="124">
        <v>4000</v>
      </c>
      <c r="G503" s="406"/>
      <c r="H503" s="407"/>
      <c r="I503" s="172" t="s">
        <v>122</v>
      </c>
      <c r="J503" s="75" t="s">
        <v>615</v>
      </c>
      <c r="K503" s="176"/>
    </row>
    <row r="504" spans="1:11" ht="15.6">
      <c r="A504" s="212">
        <v>46097</v>
      </c>
      <c r="B504" s="75" t="s">
        <v>1082</v>
      </c>
      <c r="C504" s="75" t="s">
        <v>541</v>
      </c>
      <c r="D504" s="75" t="s">
        <v>259</v>
      </c>
      <c r="E504" s="75"/>
      <c r="F504" s="75">
        <v>4500</v>
      </c>
      <c r="G504" s="406"/>
      <c r="H504" s="407"/>
      <c r="I504" s="211" t="s">
        <v>122</v>
      </c>
      <c r="J504" s="75" t="s">
        <v>596</v>
      </c>
      <c r="K504" s="176"/>
    </row>
    <row r="505" spans="1:11" ht="15.6">
      <c r="A505" s="212">
        <v>46097</v>
      </c>
      <c r="B505" s="75" t="s">
        <v>1027</v>
      </c>
      <c r="C505" s="75" t="s">
        <v>584</v>
      </c>
      <c r="D505" s="75" t="s">
        <v>259</v>
      </c>
      <c r="E505" s="75"/>
      <c r="F505" s="75">
        <v>500</v>
      </c>
      <c r="G505" s="406"/>
      <c r="H505" s="407"/>
      <c r="I505" s="211" t="s">
        <v>122</v>
      </c>
      <c r="J505" s="75" t="s">
        <v>594</v>
      </c>
      <c r="K505" s="176"/>
    </row>
    <row r="506" spans="1:11" ht="15.6">
      <c r="A506" s="341">
        <v>46097</v>
      </c>
      <c r="B506" s="124" t="s">
        <v>1083</v>
      </c>
      <c r="C506" s="124" t="s">
        <v>402</v>
      </c>
      <c r="D506" s="124" t="s">
        <v>259</v>
      </c>
      <c r="E506" s="124"/>
      <c r="F506" s="124">
        <v>10000</v>
      </c>
      <c r="G506" s="406"/>
      <c r="H506" s="407"/>
      <c r="I506" s="172" t="s">
        <v>122</v>
      </c>
      <c r="J506" s="75" t="s">
        <v>616</v>
      </c>
      <c r="K506" s="176"/>
    </row>
    <row r="507" spans="1:11" ht="15.6">
      <c r="A507" s="212">
        <v>46097</v>
      </c>
      <c r="B507" s="172" t="s">
        <v>1034</v>
      </c>
      <c r="C507" s="75" t="s">
        <v>406</v>
      </c>
      <c r="D507" s="75" t="s">
        <v>259</v>
      </c>
      <c r="E507" s="75"/>
      <c r="F507" s="75">
        <v>30000</v>
      </c>
      <c r="G507" s="406"/>
      <c r="H507" s="407"/>
      <c r="I507" s="211" t="s">
        <v>122</v>
      </c>
      <c r="J507" s="75" t="s">
        <v>617</v>
      </c>
      <c r="K507" s="176"/>
    </row>
    <row r="508" spans="1:11" ht="15.6">
      <c r="A508" s="212">
        <v>46098</v>
      </c>
      <c r="B508" s="75" t="s">
        <v>1060</v>
      </c>
      <c r="C508" s="75" t="s">
        <v>584</v>
      </c>
      <c r="D508" s="75" t="s">
        <v>259</v>
      </c>
      <c r="E508" s="75"/>
      <c r="F508" s="75">
        <v>500</v>
      </c>
      <c r="G508" s="406"/>
      <c r="H508" s="407"/>
      <c r="I508" s="211" t="s">
        <v>122</v>
      </c>
      <c r="J508" s="75" t="s">
        <v>594</v>
      </c>
      <c r="K508" s="176"/>
    </row>
    <row r="509" spans="1:11" ht="15.6">
      <c r="A509" s="212">
        <v>46098</v>
      </c>
      <c r="B509" s="75" t="s">
        <v>1060</v>
      </c>
      <c r="C509" s="75" t="s">
        <v>584</v>
      </c>
      <c r="D509" s="75" t="s">
        <v>259</v>
      </c>
      <c r="E509" s="75"/>
      <c r="F509" s="75">
        <v>500</v>
      </c>
      <c r="G509" s="406"/>
      <c r="H509" s="407"/>
      <c r="I509" s="211" t="s">
        <v>122</v>
      </c>
      <c r="J509" s="75" t="s">
        <v>594</v>
      </c>
      <c r="K509" s="176"/>
    </row>
    <row r="510" spans="1:11" ht="15.6">
      <c r="A510" s="212">
        <v>46098</v>
      </c>
      <c r="B510" s="75" t="s">
        <v>1059</v>
      </c>
      <c r="C510" s="75" t="s">
        <v>584</v>
      </c>
      <c r="D510" s="75" t="s">
        <v>259</v>
      </c>
      <c r="E510" s="75"/>
      <c r="F510" s="75">
        <v>500</v>
      </c>
      <c r="G510" s="406"/>
      <c r="H510" s="407"/>
      <c r="I510" s="211" t="s">
        <v>122</v>
      </c>
      <c r="J510" s="75" t="s">
        <v>594</v>
      </c>
      <c r="K510" s="176"/>
    </row>
    <row r="511" spans="1:11" ht="15.6">
      <c r="A511" s="212">
        <v>46098</v>
      </c>
      <c r="B511" s="75" t="s">
        <v>1059</v>
      </c>
      <c r="C511" s="75" t="s">
        <v>584</v>
      </c>
      <c r="D511" s="75" t="s">
        <v>259</v>
      </c>
      <c r="E511" s="75"/>
      <c r="F511" s="75">
        <v>500</v>
      </c>
      <c r="G511" s="406"/>
      <c r="H511" s="407"/>
      <c r="I511" s="211" t="s">
        <v>122</v>
      </c>
      <c r="J511" s="75" t="s">
        <v>594</v>
      </c>
      <c r="K511" s="176"/>
    </row>
    <row r="512" spans="1:11" ht="15.6">
      <c r="A512" s="212">
        <v>46098</v>
      </c>
      <c r="B512" s="75" t="s">
        <v>1059</v>
      </c>
      <c r="C512" s="75" t="s">
        <v>584</v>
      </c>
      <c r="D512" s="75" t="s">
        <v>259</v>
      </c>
      <c r="E512" s="75"/>
      <c r="F512" s="75">
        <v>500</v>
      </c>
      <c r="G512" s="406"/>
      <c r="H512" s="407"/>
      <c r="I512" s="211" t="s">
        <v>122</v>
      </c>
      <c r="J512" s="75" t="s">
        <v>594</v>
      </c>
      <c r="K512" s="176"/>
    </row>
    <row r="513" spans="1:11" ht="15.6">
      <c r="A513" s="341">
        <v>46098</v>
      </c>
      <c r="B513" s="172" t="s">
        <v>1034</v>
      </c>
      <c r="C513" s="124" t="s">
        <v>406</v>
      </c>
      <c r="D513" s="124" t="s">
        <v>259</v>
      </c>
      <c r="E513" s="124"/>
      <c r="F513" s="124">
        <v>10000</v>
      </c>
      <c r="G513" s="406"/>
      <c r="H513" s="407"/>
      <c r="I513" s="172" t="s">
        <v>122</v>
      </c>
      <c r="J513" s="75" t="s">
        <v>618</v>
      </c>
      <c r="K513" s="176"/>
    </row>
    <row r="514" spans="1:11" ht="15.6">
      <c r="A514" s="212">
        <v>46098</v>
      </c>
      <c r="B514" s="75" t="s">
        <v>540</v>
      </c>
      <c r="C514" s="75" t="s">
        <v>541</v>
      </c>
      <c r="D514" s="75" t="s">
        <v>259</v>
      </c>
      <c r="E514" s="75"/>
      <c r="F514" s="75">
        <v>2000</v>
      </c>
      <c r="G514" s="406"/>
      <c r="H514" s="407"/>
      <c r="I514" s="211" t="s">
        <v>122</v>
      </c>
      <c r="J514" s="75" t="s">
        <v>596</v>
      </c>
      <c r="K514" s="176"/>
    </row>
    <row r="515" spans="1:11" ht="15.6">
      <c r="A515" s="212">
        <v>46098</v>
      </c>
      <c r="B515" s="75" t="s">
        <v>1025</v>
      </c>
      <c r="C515" s="75" t="s">
        <v>584</v>
      </c>
      <c r="D515" s="75" t="s">
        <v>259</v>
      </c>
      <c r="E515" s="75"/>
      <c r="F515" s="75">
        <v>500</v>
      </c>
      <c r="G515" s="406"/>
      <c r="H515" s="407"/>
      <c r="I515" s="211" t="s">
        <v>122</v>
      </c>
      <c r="J515" s="75" t="s">
        <v>594</v>
      </c>
      <c r="K515" s="176"/>
    </row>
    <row r="516" spans="1:11" ht="15.6">
      <c r="A516" s="212">
        <v>46098</v>
      </c>
      <c r="B516" s="75" t="s">
        <v>1061</v>
      </c>
      <c r="C516" s="75" t="s">
        <v>584</v>
      </c>
      <c r="D516" s="75" t="s">
        <v>259</v>
      </c>
      <c r="E516" s="75"/>
      <c r="F516" s="75">
        <v>500</v>
      </c>
      <c r="G516" s="406"/>
      <c r="H516" s="407"/>
      <c r="I516" s="211" t="s">
        <v>122</v>
      </c>
      <c r="J516" s="75" t="s">
        <v>594</v>
      </c>
      <c r="K516" s="176"/>
    </row>
    <row r="517" spans="1:11" ht="15.6">
      <c r="A517" s="341">
        <v>46098</v>
      </c>
      <c r="B517" s="124" t="s">
        <v>1035</v>
      </c>
      <c r="C517" s="124" t="s">
        <v>402</v>
      </c>
      <c r="D517" s="124" t="s">
        <v>259</v>
      </c>
      <c r="E517" s="124"/>
      <c r="F517" s="124">
        <v>2000</v>
      </c>
      <c r="G517" s="406"/>
      <c r="H517" s="407"/>
      <c r="I517" s="172" t="s">
        <v>122</v>
      </c>
      <c r="J517" s="75" t="s">
        <v>619</v>
      </c>
      <c r="K517" s="176"/>
    </row>
    <row r="518" spans="1:11" ht="15.6">
      <c r="A518" s="212">
        <v>46098</v>
      </c>
      <c r="B518" s="75" t="s">
        <v>1061</v>
      </c>
      <c r="C518" s="75" t="s">
        <v>584</v>
      </c>
      <c r="D518" s="75" t="s">
        <v>259</v>
      </c>
      <c r="E518" s="75"/>
      <c r="F518" s="75">
        <v>500</v>
      </c>
      <c r="G518" s="406"/>
      <c r="H518" s="407"/>
      <c r="I518" s="211" t="s">
        <v>122</v>
      </c>
      <c r="J518" s="75" t="s">
        <v>594</v>
      </c>
      <c r="K518" s="176"/>
    </row>
    <row r="519" spans="1:11" ht="15.6">
      <c r="A519" s="212">
        <v>46099</v>
      </c>
      <c r="B519" s="75" t="s">
        <v>1062</v>
      </c>
      <c r="C519" s="75" t="s">
        <v>584</v>
      </c>
      <c r="D519" s="75" t="s">
        <v>259</v>
      </c>
      <c r="E519" s="75"/>
      <c r="F519" s="75">
        <v>500</v>
      </c>
      <c r="G519" s="406"/>
      <c r="H519" s="407"/>
      <c r="I519" s="211" t="s">
        <v>122</v>
      </c>
      <c r="J519" s="75" t="s">
        <v>594</v>
      </c>
      <c r="K519" s="176"/>
    </row>
    <row r="520" spans="1:11" ht="15.6">
      <c r="A520" s="212">
        <v>46099</v>
      </c>
      <c r="B520" s="75" t="s">
        <v>1029</v>
      </c>
      <c r="C520" s="75" t="s">
        <v>584</v>
      </c>
      <c r="D520" s="75" t="s">
        <v>259</v>
      </c>
      <c r="E520" s="75"/>
      <c r="F520" s="75">
        <v>1000</v>
      </c>
      <c r="G520" s="406"/>
      <c r="H520" s="407"/>
      <c r="I520" s="211" t="s">
        <v>122</v>
      </c>
      <c r="J520" s="75" t="s">
        <v>594</v>
      </c>
      <c r="K520" s="176"/>
    </row>
    <row r="521" spans="1:11" ht="15.6">
      <c r="A521" s="212">
        <v>46099</v>
      </c>
      <c r="B521" s="75" t="s">
        <v>590</v>
      </c>
      <c r="C521" s="75" t="s">
        <v>102</v>
      </c>
      <c r="D521" s="75" t="s">
        <v>259</v>
      </c>
      <c r="E521" s="75">
        <v>105000</v>
      </c>
      <c r="F521" s="75"/>
      <c r="G521" s="406"/>
      <c r="H521" s="407"/>
      <c r="I521" s="211" t="s">
        <v>122</v>
      </c>
      <c r="J521" s="75" t="s">
        <v>620</v>
      </c>
      <c r="K521" s="176"/>
    </row>
    <row r="522" spans="1:11" ht="15.6">
      <c r="A522" s="212">
        <v>46099</v>
      </c>
      <c r="B522" s="75" t="s">
        <v>1025</v>
      </c>
      <c r="C522" s="75" t="s">
        <v>584</v>
      </c>
      <c r="D522" s="75" t="s">
        <v>259</v>
      </c>
      <c r="E522" s="75"/>
      <c r="F522" s="75">
        <v>500</v>
      </c>
      <c r="G522" s="406"/>
      <c r="H522" s="407"/>
      <c r="I522" s="211" t="s">
        <v>122</v>
      </c>
      <c r="J522" s="75" t="s">
        <v>594</v>
      </c>
      <c r="K522" s="176"/>
    </row>
    <row r="523" spans="1:11" ht="15.6">
      <c r="A523" s="212">
        <v>46099</v>
      </c>
      <c r="B523" s="75" t="s">
        <v>1025</v>
      </c>
      <c r="C523" s="75" t="s">
        <v>584</v>
      </c>
      <c r="D523" s="75" t="s">
        <v>259</v>
      </c>
      <c r="E523" s="75"/>
      <c r="F523" s="75">
        <v>500</v>
      </c>
      <c r="G523" s="406"/>
      <c r="H523" s="407"/>
      <c r="I523" s="211" t="s">
        <v>122</v>
      </c>
      <c r="J523" s="75" t="s">
        <v>594</v>
      </c>
      <c r="K523" s="176"/>
    </row>
    <row r="524" spans="1:11" ht="15.6">
      <c r="A524" s="212">
        <v>46099</v>
      </c>
      <c r="B524" s="75" t="s">
        <v>1025</v>
      </c>
      <c r="C524" s="75" t="s">
        <v>584</v>
      </c>
      <c r="D524" s="75" t="s">
        <v>259</v>
      </c>
      <c r="E524" s="75"/>
      <c r="F524" s="75">
        <v>500</v>
      </c>
      <c r="G524" s="406"/>
      <c r="H524" s="407"/>
      <c r="I524" s="211" t="s">
        <v>122</v>
      </c>
      <c r="J524" s="75" t="s">
        <v>594</v>
      </c>
      <c r="K524" s="176"/>
    </row>
    <row r="525" spans="1:11" ht="15.6">
      <c r="A525" s="212">
        <v>46099</v>
      </c>
      <c r="B525" s="75" t="s">
        <v>1025</v>
      </c>
      <c r="C525" s="75" t="s">
        <v>584</v>
      </c>
      <c r="D525" s="75" t="s">
        <v>259</v>
      </c>
      <c r="E525" s="75"/>
      <c r="F525" s="75">
        <v>500</v>
      </c>
      <c r="G525" s="406"/>
      <c r="H525" s="407"/>
      <c r="I525" s="211" t="s">
        <v>122</v>
      </c>
      <c r="J525" s="75" t="s">
        <v>594</v>
      </c>
      <c r="K525" s="176"/>
    </row>
    <row r="526" spans="1:11" ht="15.6">
      <c r="A526" s="212">
        <v>46099</v>
      </c>
      <c r="B526" s="75" t="s">
        <v>1025</v>
      </c>
      <c r="C526" s="75" t="s">
        <v>584</v>
      </c>
      <c r="D526" s="75" t="s">
        <v>259</v>
      </c>
      <c r="E526" s="75"/>
      <c r="F526" s="75">
        <v>500</v>
      </c>
      <c r="G526" s="406"/>
      <c r="H526" s="407"/>
      <c r="I526" s="211" t="s">
        <v>122</v>
      </c>
      <c r="J526" s="75" t="s">
        <v>594</v>
      </c>
      <c r="K526" s="176"/>
    </row>
    <row r="527" spans="1:11" ht="15.6">
      <c r="A527" s="212">
        <v>46099</v>
      </c>
      <c r="B527" s="75" t="s">
        <v>1025</v>
      </c>
      <c r="C527" s="75" t="s">
        <v>584</v>
      </c>
      <c r="D527" s="75" t="s">
        <v>259</v>
      </c>
      <c r="E527" s="75"/>
      <c r="F527" s="75">
        <v>500</v>
      </c>
      <c r="G527" s="406"/>
      <c r="H527" s="407"/>
      <c r="I527" s="211" t="s">
        <v>122</v>
      </c>
      <c r="J527" s="75" t="s">
        <v>594</v>
      </c>
      <c r="K527" s="176"/>
    </row>
    <row r="528" spans="1:11" ht="15.6">
      <c r="A528" s="212">
        <v>46099</v>
      </c>
      <c r="B528" s="75" t="s">
        <v>1029</v>
      </c>
      <c r="C528" s="75" t="s">
        <v>584</v>
      </c>
      <c r="D528" s="75" t="s">
        <v>259</v>
      </c>
      <c r="E528" s="75"/>
      <c r="F528" s="75">
        <v>500</v>
      </c>
      <c r="G528" s="406"/>
      <c r="H528" s="407"/>
      <c r="I528" s="211" t="s">
        <v>122</v>
      </c>
      <c r="J528" s="75" t="s">
        <v>594</v>
      </c>
      <c r="K528" s="176"/>
    </row>
    <row r="529" spans="1:11" ht="15.6">
      <c r="A529" s="212">
        <v>46099</v>
      </c>
      <c r="B529" s="75" t="s">
        <v>1084</v>
      </c>
      <c r="C529" s="75" t="s">
        <v>587</v>
      </c>
      <c r="D529" s="75" t="s">
        <v>259</v>
      </c>
      <c r="E529" s="75"/>
      <c r="F529" s="75">
        <v>2000</v>
      </c>
      <c r="G529" s="406"/>
      <c r="H529" s="407"/>
      <c r="I529" s="211" t="s">
        <v>122</v>
      </c>
      <c r="J529" s="75" t="s">
        <v>596</v>
      </c>
      <c r="K529" s="176"/>
    </row>
    <row r="530" spans="1:11" ht="15.6">
      <c r="A530" s="212">
        <v>46099</v>
      </c>
      <c r="B530" s="165" t="s">
        <v>591</v>
      </c>
      <c r="C530" s="165" t="s">
        <v>110</v>
      </c>
      <c r="D530" s="211" t="s">
        <v>259</v>
      </c>
      <c r="E530" s="75">
        <v>7500</v>
      </c>
      <c r="F530" s="75"/>
      <c r="G530" s="406"/>
      <c r="H530" s="407"/>
      <c r="I530" s="211" t="s">
        <v>122</v>
      </c>
      <c r="J530" s="75" t="s">
        <v>621</v>
      </c>
      <c r="K530" s="176"/>
    </row>
    <row r="531" spans="1:11" ht="15.6">
      <c r="A531" s="212">
        <v>46099</v>
      </c>
      <c r="B531" s="165" t="s">
        <v>591</v>
      </c>
      <c r="C531" s="165" t="s">
        <v>110</v>
      </c>
      <c r="D531" s="211" t="s">
        <v>259</v>
      </c>
      <c r="E531" s="75"/>
      <c r="F531" s="75">
        <v>7500</v>
      </c>
      <c r="G531" s="406"/>
      <c r="H531" s="407"/>
      <c r="I531" s="211" t="s">
        <v>122</v>
      </c>
      <c r="J531" s="75" t="s">
        <v>621</v>
      </c>
      <c r="K531" s="176"/>
    </row>
    <row r="532" spans="1:11" ht="15.6">
      <c r="A532" s="212">
        <v>46100</v>
      </c>
      <c r="B532" s="75" t="s">
        <v>1029</v>
      </c>
      <c r="C532" s="75" t="s">
        <v>584</v>
      </c>
      <c r="D532" s="75" t="s">
        <v>259</v>
      </c>
      <c r="E532" s="75"/>
      <c r="F532" s="75">
        <v>500</v>
      </c>
      <c r="G532" s="406"/>
      <c r="H532" s="407"/>
      <c r="I532" s="211" t="s">
        <v>122</v>
      </c>
      <c r="J532" s="75" t="s">
        <v>594</v>
      </c>
      <c r="K532" s="176"/>
    </row>
    <row r="533" spans="1:11" ht="15.6">
      <c r="A533" s="212">
        <v>46100</v>
      </c>
      <c r="B533" s="75" t="s">
        <v>1029</v>
      </c>
      <c r="C533" s="75" t="s">
        <v>584</v>
      </c>
      <c r="D533" s="75" t="s">
        <v>259</v>
      </c>
      <c r="E533" s="75"/>
      <c r="F533" s="75">
        <v>500</v>
      </c>
      <c r="G533" s="406"/>
      <c r="H533" s="407"/>
      <c r="I533" s="211" t="s">
        <v>122</v>
      </c>
      <c r="J533" s="75" t="s">
        <v>594</v>
      </c>
      <c r="K533" s="176"/>
    </row>
    <row r="534" spans="1:11" ht="15.6">
      <c r="A534" s="212">
        <v>46100</v>
      </c>
      <c r="B534" s="75" t="s">
        <v>1025</v>
      </c>
      <c r="C534" s="75" t="s">
        <v>584</v>
      </c>
      <c r="D534" s="75" t="s">
        <v>259</v>
      </c>
      <c r="E534" s="75"/>
      <c r="F534" s="75">
        <v>500</v>
      </c>
      <c r="G534" s="406"/>
      <c r="H534" s="407"/>
      <c r="I534" s="211" t="s">
        <v>122</v>
      </c>
      <c r="J534" s="75" t="s">
        <v>594</v>
      </c>
      <c r="K534" s="176"/>
    </row>
    <row r="535" spans="1:11" ht="15.6">
      <c r="A535" s="212">
        <v>46100</v>
      </c>
      <c r="B535" s="75" t="s">
        <v>1025</v>
      </c>
      <c r="C535" s="75" t="s">
        <v>584</v>
      </c>
      <c r="D535" s="75" t="s">
        <v>259</v>
      </c>
      <c r="E535" s="75"/>
      <c r="F535" s="75">
        <v>500</v>
      </c>
      <c r="G535" s="406"/>
      <c r="H535" s="407"/>
      <c r="I535" s="211" t="s">
        <v>122</v>
      </c>
      <c r="J535" s="75" t="s">
        <v>594</v>
      </c>
      <c r="K535" s="176"/>
    </row>
    <row r="536" spans="1:11" ht="15.6">
      <c r="A536" s="212">
        <v>46101</v>
      </c>
      <c r="B536" s="75" t="s">
        <v>1025</v>
      </c>
      <c r="C536" s="75" t="s">
        <v>584</v>
      </c>
      <c r="D536" s="75" t="s">
        <v>259</v>
      </c>
      <c r="E536" s="75"/>
      <c r="F536" s="75">
        <v>500</v>
      </c>
      <c r="G536" s="406"/>
      <c r="H536" s="407"/>
      <c r="I536" s="211" t="s">
        <v>122</v>
      </c>
      <c r="J536" s="75" t="s">
        <v>594</v>
      </c>
      <c r="K536" s="176"/>
    </row>
    <row r="537" spans="1:11" ht="15.6">
      <c r="A537" s="212">
        <v>46101</v>
      </c>
      <c r="B537" s="75" t="s">
        <v>1085</v>
      </c>
      <c r="C537" s="75" t="s">
        <v>584</v>
      </c>
      <c r="D537" s="75" t="s">
        <v>259</v>
      </c>
      <c r="E537" s="75"/>
      <c r="F537" s="75">
        <v>500</v>
      </c>
      <c r="G537" s="406"/>
      <c r="H537" s="407"/>
      <c r="I537" s="211" t="s">
        <v>122</v>
      </c>
      <c r="J537" s="75" t="s">
        <v>594</v>
      </c>
      <c r="K537" s="176"/>
    </row>
    <row r="538" spans="1:11" ht="15.6">
      <c r="A538" s="212">
        <v>46101</v>
      </c>
      <c r="B538" s="75" t="s">
        <v>1025</v>
      </c>
      <c r="C538" s="75" t="s">
        <v>584</v>
      </c>
      <c r="D538" s="75" t="s">
        <v>259</v>
      </c>
      <c r="E538" s="75"/>
      <c r="F538" s="75">
        <v>500</v>
      </c>
      <c r="G538" s="406"/>
      <c r="H538" s="407"/>
      <c r="I538" s="211" t="s">
        <v>122</v>
      </c>
      <c r="J538" s="75" t="s">
        <v>594</v>
      </c>
      <c r="K538" s="176"/>
    </row>
    <row r="539" spans="1:11" ht="15.6">
      <c r="A539" s="212">
        <v>46101</v>
      </c>
      <c r="B539" s="75" t="s">
        <v>1025</v>
      </c>
      <c r="C539" s="75" t="s">
        <v>584</v>
      </c>
      <c r="D539" s="75" t="s">
        <v>259</v>
      </c>
      <c r="E539" s="75"/>
      <c r="F539" s="75">
        <v>500</v>
      </c>
      <c r="G539" s="406"/>
      <c r="H539" s="407"/>
      <c r="I539" s="211" t="s">
        <v>122</v>
      </c>
      <c r="J539" s="75" t="s">
        <v>594</v>
      </c>
      <c r="K539" s="176"/>
    </row>
    <row r="540" spans="1:11" ht="15.6">
      <c r="A540" s="212">
        <v>46101</v>
      </c>
      <c r="B540" s="75" t="s">
        <v>590</v>
      </c>
      <c r="C540" s="75" t="s">
        <v>102</v>
      </c>
      <c r="D540" s="75" t="s">
        <v>259</v>
      </c>
      <c r="E540" s="75">
        <v>154000</v>
      </c>
      <c r="F540" s="75"/>
      <c r="G540" s="406"/>
      <c r="H540" s="407"/>
      <c r="I540" s="211" t="s">
        <v>122</v>
      </c>
      <c r="J540" s="75" t="s">
        <v>622</v>
      </c>
      <c r="K540" s="176"/>
    </row>
    <row r="541" spans="1:11" ht="15.6">
      <c r="A541" s="341">
        <v>46102</v>
      </c>
      <c r="B541" s="172" t="s">
        <v>1034</v>
      </c>
      <c r="C541" s="124" t="s">
        <v>406</v>
      </c>
      <c r="D541" s="124" t="s">
        <v>259</v>
      </c>
      <c r="E541" s="124"/>
      <c r="F541" s="124">
        <v>40000</v>
      </c>
      <c r="G541" s="406"/>
      <c r="H541" s="407"/>
      <c r="I541" s="172" t="s">
        <v>122</v>
      </c>
      <c r="J541" s="75" t="s">
        <v>623</v>
      </c>
      <c r="K541" s="176"/>
    </row>
    <row r="542" spans="1:11" ht="15.6">
      <c r="A542" s="212">
        <v>46102</v>
      </c>
      <c r="B542" s="75" t="s">
        <v>1025</v>
      </c>
      <c r="C542" s="75" t="s">
        <v>584</v>
      </c>
      <c r="D542" s="75" t="s">
        <v>259</v>
      </c>
      <c r="E542" s="75"/>
      <c r="F542" s="75">
        <v>500</v>
      </c>
      <c r="G542" s="406"/>
      <c r="H542" s="407"/>
      <c r="I542" s="211" t="s">
        <v>122</v>
      </c>
      <c r="J542" s="75" t="s">
        <v>594</v>
      </c>
      <c r="K542" s="176"/>
    </row>
    <row r="543" spans="1:11" ht="15.6">
      <c r="A543" s="341">
        <v>46102</v>
      </c>
      <c r="B543" s="124" t="s">
        <v>1067</v>
      </c>
      <c r="C543" s="124" t="s">
        <v>402</v>
      </c>
      <c r="D543" s="124" t="s">
        <v>259</v>
      </c>
      <c r="E543" s="124"/>
      <c r="F543" s="124">
        <v>2000</v>
      </c>
      <c r="G543" s="406"/>
      <c r="H543" s="407"/>
      <c r="I543" s="172" t="s">
        <v>122</v>
      </c>
      <c r="J543" s="75" t="s">
        <v>624</v>
      </c>
      <c r="K543" s="176"/>
    </row>
    <row r="544" spans="1:11" ht="15.6">
      <c r="A544" s="212">
        <v>46102</v>
      </c>
      <c r="B544" s="75" t="s">
        <v>1049</v>
      </c>
      <c r="C544" s="75" t="s">
        <v>584</v>
      </c>
      <c r="D544" s="75" t="s">
        <v>259</v>
      </c>
      <c r="E544" s="75"/>
      <c r="F544" s="75">
        <v>1000</v>
      </c>
      <c r="G544" s="406"/>
      <c r="H544" s="407"/>
      <c r="I544" s="211" t="s">
        <v>122</v>
      </c>
      <c r="J544" s="75" t="s">
        <v>594</v>
      </c>
      <c r="K544" s="176"/>
    </row>
    <row r="545" spans="1:11" ht="15.6">
      <c r="A545" s="212">
        <v>46102</v>
      </c>
      <c r="B545" s="75" t="s">
        <v>1027</v>
      </c>
      <c r="C545" s="75" t="s">
        <v>584</v>
      </c>
      <c r="D545" s="75" t="s">
        <v>259</v>
      </c>
      <c r="E545" s="75"/>
      <c r="F545" s="75">
        <v>500</v>
      </c>
      <c r="G545" s="406"/>
      <c r="H545" s="407"/>
      <c r="I545" s="211" t="s">
        <v>122</v>
      </c>
      <c r="J545" s="75" t="s">
        <v>594</v>
      </c>
      <c r="K545" s="176"/>
    </row>
    <row r="546" spans="1:11" ht="15.6">
      <c r="A546" s="212">
        <v>46102</v>
      </c>
      <c r="B546" s="75" t="s">
        <v>1027</v>
      </c>
      <c r="C546" s="75" t="s">
        <v>584</v>
      </c>
      <c r="D546" s="75" t="s">
        <v>259</v>
      </c>
      <c r="E546" s="75"/>
      <c r="F546" s="75">
        <v>500</v>
      </c>
      <c r="G546" s="406"/>
      <c r="H546" s="407"/>
      <c r="I546" s="211" t="s">
        <v>122</v>
      </c>
      <c r="J546" s="75" t="s">
        <v>594</v>
      </c>
      <c r="K546" s="176"/>
    </row>
    <row r="547" spans="1:11" ht="15.6">
      <c r="A547" s="212">
        <v>46103</v>
      </c>
      <c r="B547" s="75" t="s">
        <v>1027</v>
      </c>
      <c r="C547" s="75" t="s">
        <v>584</v>
      </c>
      <c r="D547" s="75" t="s">
        <v>259</v>
      </c>
      <c r="E547" s="75"/>
      <c r="F547" s="75">
        <v>500</v>
      </c>
      <c r="G547" s="406"/>
      <c r="H547" s="407"/>
      <c r="I547" s="211" t="s">
        <v>122</v>
      </c>
      <c r="J547" s="75" t="s">
        <v>594</v>
      </c>
      <c r="K547" s="176"/>
    </row>
    <row r="548" spans="1:11" ht="15.6">
      <c r="A548" s="212">
        <v>46103</v>
      </c>
      <c r="B548" s="172" t="s">
        <v>1034</v>
      </c>
      <c r="C548" s="75" t="s">
        <v>406</v>
      </c>
      <c r="D548" s="75" t="s">
        <v>259</v>
      </c>
      <c r="E548" s="75"/>
      <c r="F548" s="75">
        <v>10000</v>
      </c>
      <c r="G548" s="406"/>
      <c r="H548" s="407"/>
      <c r="I548" s="211" t="s">
        <v>122</v>
      </c>
      <c r="J548" s="75" t="s">
        <v>1017</v>
      </c>
      <c r="K548" s="176"/>
    </row>
    <row r="549" spans="1:11" ht="15.6">
      <c r="A549" s="341">
        <v>46103</v>
      </c>
      <c r="B549" s="124" t="s">
        <v>1086</v>
      </c>
      <c r="C549" s="124" t="s">
        <v>402</v>
      </c>
      <c r="D549" s="124" t="s">
        <v>259</v>
      </c>
      <c r="E549" s="124"/>
      <c r="F549" s="124">
        <v>20000</v>
      </c>
      <c r="G549" s="406"/>
      <c r="H549" s="407"/>
      <c r="I549" s="172" t="s">
        <v>122</v>
      </c>
      <c r="J549" s="75" t="s">
        <v>626</v>
      </c>
      <c r="K549" s="176"/>
    </row>
    <row r="550" spans="1:11" ht="15.6">
      <c r="A550" s="341">
        <v>46104</v>
      </c>
      <c r="B550" s="124" t="s">
        <v>1031</v>
      </c>
      <c r="C550" s="124" t="s">
        <v>402</v>
      </c>
      <c r="D550" s="124" t="s">
        <v>259</v>
      </c>
      <c r="E550" s="124"/>
      <c r="F550" s="124">
        <v>8000</v>
      </c>
      <c r="G550" s="406"/>
      <c r="H550" s="407"/>
      <c r="I550" s="172" t="s">
        <v>122</v>
      </c>
      <c r="J550" s="75" t="s">
        <v>627</v>
      </c>
      <c r="K550" s="176"/>
    </row>
    <row r="551" spans="1:11" ht="15.6">
      <c r="A551" s="341">
        <v>46105</v>
      </c>
      <c r="B551" s="124" t="s">
        <v>1031</v>
      </c>
      <c r="C551" s="124" t="s">
        <v>402</v>
      </c>
      <c r="D551" s="124" t="s">
        <v>259</v>
      </c>
      <c r="E551" s="124"/>
      <c r="F551" s="124">
        <v>2000</v>
      </c>
      <c r="G551" s="406"/>
      <c r="H551" s="407"/>
      <c r="I551" s="172" t="s">
        <v>122</v>
      </c>
      <c r="J551" s="75" t="s">
        <v>628</v>
      </c>
      <c r="K551" s="176"/>
    </row>
    <row r="552" spans="1:11" ht="15.6">
      <c r="A552" s="341">
        <v>46105</v>
      </c>
      <c r="B552" s="124" t="s">
        <v>1031</v>
      </c>
      <c r="C552" s="124" t="s">
        <v>402</v>
      </c>
      <c r="D552" s="124" t="s">
        <v>259</v>
      </c>
      <c r="E552" s="124"/>
      <c r="F552" s="124">
        <v>6000</v>
      </c>
      <c r="G552" s="406"/>
      <c r="H552" s="407"/>
      <c r="I552" s="172" t="s">
        <v>122</v>
      </c>
      <c r="J552" s="75" t="s">
        <v>629</v>
      </c>
      <c r="K552" s="176"/>
    </row>
    <row r="553" spans="1:11" ht="15.6">
      <c r="A553" s="212">
        <v>46105</v>
      </c>
      <c r="B553" s="165" t="s">
        <v>592</v>
      </c>
      <c r="C553" s="165" t="s">
        <v>110</v>
      </c>
      <c r="D553" s="211" t="s">
        <v>259</v>
      </c>
      <c r="E553" s="75">
        <v>7500</v>
      </c>
      <c r="F553" s="75"/>
      <c r="G553" s="406"/>
      <c r="H553" s="407"/>
      <c r="I553" s="211" t="s">
        <v>122</v>
      </c>
      <c r="J553" s="75" t="s">
        <v>630</v>
      </c>
      <c r="K553" s="176"/>
    </row>
    <row r="554" spans="1:11" ht="15.6">
      <c r="A554" s="212">
        <v>46105</v>
      </c>
      <c r="B554" s="165" t="s">
        <v>592</v>
      </c>
      <c r="C554" s="165" t="s">
        <v>110</v>
      </c>
      <c r="D554" s="211" t="s">
        <v>259</v>
      </c>
      <c r="E554" s="75"/>
      <c r="F554" s="75">
        <v>7500</v>
      </c>
      <c r="G554" s="406"/>
      <c r="H554" s="407"/>
      <c r="I554" s="211" t="s">
        <v>122</v>
      </c>
      <c r="J554" s="75" t="s">
        <v>630</v>
      </c>
      <c r="K554" s="176"/>
    </row>
    <row r="555" spans="1:11" ht="15.6">
      <c r="A555" s="212">
        <v>46106</v>
      </c>
      <c r="B555" s="75" t="s">
        <v>1050</v>
      </c>
      <c r="C555" s="75" t="s">
        <v>541</v>
      </c>
      <c r="D555" s="75" t="s">
        <v>259</v>
      </c>
      <c r="E555" s="75"/>
      <c r="F555" s="75">
        <v>3500</v>
      </c>
      <c r="G555" s="406"/>
      <c r="H555" s="407"/>
      <c r="I555" s="211" t="s">
        <v>122</v>
      </c>
      <c r="J555" s="75" t="s">
        <v>596</v>
      </c>
      <c r="K555" s="176"/>
    </row>
    <row r="556" spans="1:11" ht="15.6">
      <c r="A556" s="212">
        <v>46106</v>
      </c>
      <c r="B556" s="75" t="s">
        <v>1027</v>
      </c>
      <c r="C556" s="75" t="s">
        <v>402</v>
      </c>
      <c r="D556" s="75" t="s">
        <v>259</v>
      </c>
      <c r="E556" s="75"/>
      <c r="F556" s="75">
        <v>4000</v>
      </c>
      <c r="G556" s="406"/>
      <c r="H556" s="407"/>
      <c r="I556" s="211" t="s">
        <v>122</v>
      </c>
      <c r="J556" s="75" t="s">
        <v>631</v>
      </c>
      <c r="K556" s="176"/>
    </row>
    <row r="557" spans="1:11" ht="15.6">
      <c r="A557" s="212">
        <v>46106</v>
      </c>
      <c r="B557" s="75" t="s">
        <v>1027</v>
      </c>
      <c r="C557" s="75" t="s">
        <v>402</v>
      </c>
      <c r="D557" s="75" t="s">
        <v>259</v>
      </c>
      <c r="E557" s="75"/>
      <c r="F557" s="75">
        <v>4000</v>
      </c>
      <c r="G557" s="406"/>
      <c r="H557" s="407"/>
      <c r="I557" s="211" t="s">
        <v>122</v>
      </c>
      <c r="J557" s="75" t="s">
        <v>632</v>
      </c>
      <c r="K557" s="176"/>
    </row>
    <row r="558" spans="1:11" ht="15.6">
      <c r="A558" s="212">
        <v>46107</v>
      </c>
      <c r="B558" s="75" t="s">
        <v>590</v>
      </c>
      <c r="C558" s="75" t="s">
        <v>102</v>
      </c>
      <c r="D558" s="75" t="s">
        <v>259</v>
      </c>
      <c r="E558" s="75">
        <v>109000</v>
      </c>
      <c r="F558" s="75"/>
      <c r="G558" s="406"/>
      <c r="H558" s="407"/>
      <c r="I558" s="211" t="s">
        <v>122</v>
      </c>
      <c r="J558" s="75" t="s">
        <v>633</v>
      </c>
      <c r="K558" s="176"/>
    </row>
    <row r="559" spans="1:11" ht="15.6">
      <c r="A559" s="212">
        <v>46108</v>
      </c>
      <c r="B559" s="75" t="s">
        <v>1027</v>
      </c>
      <c r="C559" s="75" t="s">
        <v>402</v>
      </c>
      <c r="D559" s="75" t="s">
        <v>259</v>
      </c>
      <c r="E559" s="75"/>
      <c r="F559" s="75">
        <v>4000</v>
      </c>
      <c r="G559" s="406"/>
      <c r="H559" s="407"/>
      <c r="I559" s="211" t="s">
        <v>122</v>
      </c>
      <c r="J559" s="75" t="s">
        <v>634</v>
      </c>
      <c r="K559" s="176"/>
    </row>
    <row r="560" spans="1:11" ht="15.6">
      <c r="A560" s="212">
        <v>46108</v>
      </c>
      <c r="B560" s="75" t="s">
        <v>1027</v>
      </c>
      <c r="C560" s="75" t="s">
        <v>402</v>
      </c>
      <c r="D560" s="75" t="s">
        <v>259</v>
      </c>
      <c r="E560" s="75"/>
      <c r="F560" s="75">
        <v>4000</v>
      </c>
      <c r="G560" s="406"/>
      <c r="H560" s="407"/>
      <c r="I560" s="211" t="s">
        <v>122</v>
      </c>
      <c r="J560" s="75" t="s">
        <v>635</v>
      </c>
      <c r="K560" s="176"/>
    </row>
    <row r="561" spans="1:11" ht="15.6">
      <c r="A561" s="212">
        <v>46109</v>
      </c>
      <c r="B561" s="75" t="s">
        <v>1027</v>
      </c>
      <c r="C561" s="75" t="s">
        <v>402</v>
      </c>
      <c r="D561" s="75" t="s">
        <v>259</v>
      </c>
      <c r="E561" s="75"/>
      <c r="F561" s="75">
        <v>4000</v>
      </c>
      <c r="G561" s="406"/>
      <c r="H561" s="407"/>
      <c r="I561" s="211" t="s">
        <v>122</v>
      </c>
      <c r="J561" s="75" t="s">
        <v>636</v>
      </c>
      <c r="K561" s="176"/>
    </row>
    <row r="562" spans="1:11" ht="15.6">
      <c r="A562" s="212">
        <v>46109</v>
      </c>
      <c r="B562" s="75" t="s">
        <v>1027</v>
      </c>
      <c r="C562" s="75" t="s">
        <v>402</v>
      </c>
      <c r="D562" s="75" t="s">
        <v>259</v>
      </c>
      <c r="E562" s="75"/>
      <c r="F562" s="75">
        <v>4000</v>
      </c>
      <c r="G562" s="406"/>
      <c r="H562" s="407"/>
      <c r="I562" s="211" t="s">
        <v>122</v>
      </c>
      <c r="J562" s="75" t="s">
        <v>637</v>
      </c>
      <c r="K562" s="176"/>
    </row>
    <row r="563" spans="1:11" ht="15.6">
      <c r="A563" s="212">
        <v>46110</v>
      </c>
      <c r="B563" s="75" t="s">
        <v>1027</v>
      </c>
      <c r="C563" s="75" t="s">
        <v>402</v>
      </c>
      <c r="D563" s="75" t="s">
        <v>259</v>
      </c>
      <c r="E563" s="75"/>
      <c r="F563" s="75">
        <v>4000</v>
      </c>
      <c r="G563" s="406"/>
      <c r="H563" s="407"/>
      <c r="I563" s="211" t="s">
        <v>122</v>
      </c>
      <c r="J563" s="75" t="s">
        <v>638</v>
      </c>
      <c r="K563" s="176"/>
    </row>
    <row r="564" spans="1:11" ht="15.6">
      <c r="A564" s="212">
        <v>46110</v>
      </c>
      <c r="B564" s="75" t="s">
        <v>1073</v>
      </c>
      <c r="C564" s="75" t="s">
        <v>587</v>
      </c>
      <c r="D564" s="75" t="s">
        <v>259</v>
      </c>
      <c r="E564" s="75"/>
      <c r="F564" s="75">
        <v>3500</v>
      </c>
      <c r="G564" s="406"/>
      <c r="H564" s="407"/>
      <c r="I564" s="211" t="s">
        <v>122</v>
      </c>
      <c r="J564" s="75" t="s">
        <v>596</v>
      </c>
      <c r="K564" s="176"/>
    </row>
    <row r="565" spans="1:11" ht="15.6">
      <c r="A565" s="212">
        <v>46110</v>
      </c>
      <c r="B565" s="75" t="s">
        <v>1027</v>
      </c>
      <c r="C565" s="75" t="s">
        <v>402</v>
      </c>
      <c r="D565" s="75" t="s">
        <v>259</v>
      </c>
      <c r="E565" s="75"/>
      <c r="F565" s="75">
        <v>4000</v>
      </c>
      <c r="G565" s="406"/>
      <c r="H565" s="407"/>
      <c r="I565" s="211" t="s">
        <v>122</v>
      </c>
      <c r="J565" s="75" t="s">
        <v>639</v>
      </c>
      <c r="K565" s="176"/>
    </row>
    <row r="566" spans="1:11" ht="15.6">
      <c r="A566" s="212">
        <v>46111</v>
      </c>
      <c r="B566" s="172" t="s">
        <v>1034</v>
      </c>
      <c r="C566" s="75" t="s">
        <v>406</v>
      </c>
      <c r="D566" s="75" t="s">
        <v>259</v>
      </c>
      <c r="E566" s="75"/>
      <c r="F566" s="75">
        <v>80000</v>
      </c>
      <c r="G566" s="406"/>
      <c r="H566" s="407"/>
      <c r="I566" s="211" t="s">
        <v>122</v>
      </c>
      <c r="J566" s="75" t="s">
        <v>640</v>
      </c>
      <c r="K566" s="176"/>
    </row>
    <row r="567" spans="1:11" ht="15.6">
      <c r="A567" s="212">
        <v>46111</v>
      </c>
      <c r="B567" s="75" t="s">
        <v>1086</v>
      </c>
      <c r="C567" s="75" t="s">
        <v>402</v>
      </c>
      <c r="D567" s="75" t="s">
        <v>259</v>
      </c>
      <c r="E567" s="75"/>
      <c r="F567" s="75">
        <v>20000</v>
      </c>
      <c r="G567" s="406"/>
      <c r="H567" s="407"/>
      <c r="I567" s="211" t="s">
        <v>122</v>
      </c>
      <c r="J567" s="75" t="s">
        <v>641</v>
      </c>
      <c r="K567" s="176"/>
    </row>
    <row r="568" spans="1:11" ht="15.6">
      <c r="A568" s="212">
        <v>46111</v>
      </c>
      <c r="B568" s="75" t="s">
        <v>586</v>
      </c>
      <c r="C568" s="75" t="s">
        <v>102</v>
      </c>
      <c r="D568" s="75" t="s">
        <v>259</v>
      </c>
      <c r="E568" s="75">
        <v>75000</v>
      </c>
      <c r="F568" s="75"/>
      <c r="G568" s="406"/>
      <c r="H568" s="407"/>
      <c r="I568" s="211" t="s">
        <v>122</v>
      </c>
      <c r="J568" s="75" t="s">
        <v>642</v>
      </c>
      <c r="K568" s="176"/>
    </row>
    <row r="569" spans="1:11" ht="15.6">
      <c r="A569" s="212">
        <v>46112</v>
      </c>
      <c r="B569" s="172" t="s">
        <v>1034</v>
      </c>
      <c r="C569" s="75" t="s">
        <v>406</v>
      </c>
      <c r="D569" s="75" t="s">
        <v>259</v>
      </c>
      <c r="E569" s="75"/>
      <c r="F569" s="75">
        <v>10000</v>
      </c>
      <c r="G569" s="406"/>
      <c r="H569" s="407"/>
      <c r="I569" s="211" t="s">
        <v>122</v>
      </c>
      <c r="J569" s="75" t="s">
        <v>643</v>
      </c>
      <c r="K569" s="176"/>
    </row>
    <row r="570" spans="1:11" ht="15.6">
      <c r="A570" s="212">
        <v>46112</v>
      </c>
      <c r="B570" s="75" t="s">
        <v>1027</v>
      </c>
      <c r="C570" s="75" t="s">
        <v>584</v>
      </c>
      <c r="D570" s="75" t="s">
        <v>259</v>
      </c>
      <c r="E570" s="75"/>
      <c r="F570" s="75">
        <v>500</v>
      </c>
      <c r="G570" s="406"/>
      <c r="H570" s="407"/>
      <c r="I570" s="211" t="s">
        <v>122</v>
      </c>
      <c r="J570" s="75" t="s">
        <v>594</v>
      </c>
      <c r="K570" s="176"/>
    </row>
    <row r="571" spans="1:11" ht="15.6">
      <c r="A571" s="212">
        <v>46112</v>
      </c>
      <c r="B571" s="75" t="s">
        <v>1026</v>
      </c>
      <c r="C571" s="75" t="s">
        <v>402</v>
      </c>
      <c r="D571" s="75" t="s">
        <v>259</v>
      </c>
      <c r="E571" s="75"/>
      <c r="F571" s="75">
        <v>2000</v>
      </c>
      <c r="G571" s="173"/>
      <c r="H571" s="174"/>
      <c r="I571" s="211" t="s">
        <v>122</v>
      </c>
      <c r="J571" s="75" t="s">
        <v>644</v>
      </c>
      <c r="K571" s="176"/>
    </row>
    <row r="572" spans="1:11" ht="15.6">
      <c r="A572" s="212">
        <v>46112</v>
      </c>
      <c r="B572" s="75" t="s">
        <v>1049</v>
      </c>
      <c r="C572" s="75" t="s">
        <v>584</v>
      </c>
      <c r="D572" s="75" t="s">
        <v>259</v>
      </c>
      <c r="E572" s="75"/>
      <c r="F572" s="75">
        <v>1000</v>
      </c>
      <c r="G572" s="173"/>
      <c r="H572" s="174"/>
      <c r="I572" s="211" t="s">
        <v>122</v>
      </c>
      <c r="J572" s="75" t="s">
        <v>594</v>
      </c>
      <c r="K572" s="176"/>
    </row>
    <row r="573" spans="1:11" ht="15.6">
      <c r="A573" s="212">
        <v>46112</v>
      </c>
      <c r="B573" s="75" t="s">
        <v>1029</v>
      </c>
      <c r="C573" s="75" t="s">
        <v>584</v>
      </c>
      <c r="D573" s="75" t="s">
        <v>259</v>
      </c>
      <c r="E573" s="75"/>
      <c r="F573" s="75">
        <v>500</v>
      </c>
      <c r="G573" s="173"/>
      <c r="H573" s="174"/>
      <c r="I573" s="211" t="s">
        <v>122</v>
      </c>
      <c r="J573" s="75" t="s">
        <v>594</v>
      </c>
      <c r="K573" s="176"/>
    </row>
    <row r="574" spans="1:11" ht="15.6">
      <c r="A574" s="168"/>
      <c r="B574" s="176"/>
      <c r="C574" s="176"/>
      <c r="D574" s="176"/>
      <c r="E574" s="188">
        <f>SUM(E415:E573)</f>
        <v>842000</v>
      </c>
      <c r="F574" s="188">
        <f>SUM(F415:F573)</f>
        <v>863650</v>
      </c>
      <c r="G574" s="188"/>
      <c r="H574" s="196">
        <f>+E574-F574+H414</f>
        <v>39700</v>
      </c>
      <c r="I574" s="176"/>
      <c r="J574" s="176"/>
      <c r="K574" s="176"/>
    </row>
    <row r="575" spans="1:11" ht="15.6">
      <c r="A575" s="168"/>
      <c r="B575" s="176"/>
      <c r="C575" s="176"/>
      <c r="D575" s="176"/>
      <c r="E575" s="188"/>
      <c r="F575" s="188"/>
      <c r="G575" s="188"/>
      <c r="H575" s="196"/>
      <c r="I575" s="176"/>
      <c r="J575" s="176"/>
      <c r="K575" s="176"/>
    </row>
    <row r="576" spans="1:11" ht="15.6">
      <c r="A576" s="178"/>
      <c r="B576" s="176"/>
      <c r="C576" s="179" t="s">
        <v>150</v>
      </c>
      <c r="D576" s="176"/>
      <c r="E576" s="180"/>
      <c r="F576" s="180"/>
      <c r="G576" s="180"/>
      <c r="H576" s="181"/>
      <c r="I576" s="176"/>
      <c r="J576" s="176"/>
      <c r="K576" s="176"/>
    </row>
    <row r="577" spans="1:11" ht="15.6">
      <c r="A577" s="178"/>
      <c r="B577" s="176"/>
      <c r="C577" s="176"/>
      <c r="D577" s="176"/>
      <c r="E577" s="180"/>
      <c r="F577" s="180"/>
      <c r="G577" s="180"/>
      <c r="H577" s="181"/>
      <c r="I577" s="176"/>
      <c r="J577" s="176"/>
      <c r="K577" s="176"/>
    </row>
    <row r="578" spans="1:11" ht="15.6">
      <c r="A578" s="182" t="s">
        <v>0</v>
      </c>
      <c r="B578" s="183" t="s">
        <v>141</v>
      </c>
      <c r="C578" s="183" t="s">
        <v>142</v>
      </c>
      <c r="D578" s="183" t="s">
        <v>143</v>
      </c>
      <c r="E578" s="184" t="s">
        <v>144</v>
      </c>
      <c r="F578" s="184" t="s">
        <v>145</v>
      </c>
      <c r="G578" s="184"/>
      <c r="H578" s="185" t="s">
        <v>30</v>
      </c>
      <c r="I578" s="183" t="s">
        <v>146</v>
      </c>
      <c r="J578" s="183" t="s">
        <v>147</v>
      </c>
      <c r="K578" s="176"/>
    </row>
    <row r="579" spans="1:11" ht="15.6">
      <c r="A579" s="427">
        <v>46082</v>
      </c>
      <c r="B579" s="405" t="s">
        <v>857</v>
      </c>
      <c r="C579" s="405"/>
      <c r="D579" s="405"/>
      <c r="E579" s="406"/>
      <c r="F579" s="406"/>
      <c r="G579" s="406"/>
      <c r="H579" s="406">
        <v>-4900</v>
      </c>
      <c r="I579" s="407" t="s">
        <v>131</v>
      </c>
      <c r="J579" s="405"/>
      <c r="K579" s="176"/>
    </row>
    <row r="580" spans="1:11" ht="15.6">
      <c r="A580" s="430">
        <v>46083</v>
      </c>
      <c r="B580" s="431" t="s">
        <v>645</v>
      </c>
      <c r="C580" s="431" t="s">
        <v>102</v>
      </c>
      <c r="D580" s="431" t="s">
        <v>259</v>
      </c>
      <c r="E580" s="357">
        <v>15000</v>
      </c>
      <c r="F580" s="357"/>
      <c r="G580" s="406"/>
      <c r="H580" s="406">
        <f>+H579+E580-F580</f>
        <v>10100</v>
      </c>
      <c r="I580" s="431" t="s">
        <v>131</v>
      </c>
      <c r="J580" s="357" t="s">
        <v>651</v>
      </c>
      <c r="K580" s="176"/>
    </row>
    <row r="581" spans="1:11" ht="15.6">
      <c r="A581" s="430">
        <v>46083</v>
      </c>
      <c r="B581" s="431" t="s">
        <v>645</v>
      </c>
      <c r="C581" s="431" t="s">
        <v>102</v>
      </c>
      <c r="D581" s="431" t="s">
        <v>259</v>
      </c>
      <c r="E581" s="357">
        <v>80000</v>
      </c>
      <c r="F581" s="357"/>
      <c r="G581" s="406"/>
      <c r="H581" s="406">
        <f t="shared" ref="H581:H644" si="7">+H580+E581-F581</f>
        <v>90100</v>
      </c>
      <c r="I581" s="431" t="s">
        <v>131</v>
      </c>
      <c r="J581" s="357" t="s">
        <v>652</v>
      </c>
      <c r="K581" s="176"/>
    </row>
    <row r="582" spans="1:11" ht="15.6">
      <c r="A582" s="430">
        <v>46083</v>
      </c>
      <c r="B582" s="431" t="s">
        <v>1025</v>
      </c>
      <c r="C582" s="431" t="s">
        <v>539</v>
      </c>
      <c r="D582" s="431" t="s">
        <v>259</v>
      </c>
      <c r="E582" s="357"/>
      <c r="F582" s="357">
        <v>1000</v>
      </c>
      <c r="G582" s="406"/>
      <c r="H582" s="406">
        <f t="shared" si="7"/>
        <v>89100</v>
      </c>
      <c r="I582" s="431" t="s">
        <v>131</v>
      </c>
      <c r="J582" s="357" t="s">
        <v>653</v>
      </c>
      <c r="K582" s="176"/>
    </row>
    <row r="583" spans="1:11" ht="15.6">
      <c r="A583" s="432">
        <v>46083</v>
      </c>
      <c r="B583" s="433" t="s">
        <v>1067</v>
      </c>
      <c r="C583" s="433" t="s">
        <v>402</v>
      </c>
      <c r="D583" s="433" t="s">
        <v>259</v>
      </c>
      <c r="E583" s="356"/>
      <c r="F583" s="356">
        <v>9000</v>
      </c>
      <c r="G583" s="406"/>
      <c r="H583" s="406">
        <f t="shared" si="7"/>
        <v>80100</v>
      </c>
      <c r="I583" s="433" t="s">
        <v>131</v>
      </c>
      <c r="J583" s="356" t="s">
        <v>654</v>
      </c>
      <c r="K583" s="176"/>
    </row>
    <row r="584" spans="1:11" ht="15.6">
      <c r="A584" s="430">
        <v>46083</v>
      </c>
      <c r="B584" s="431" t="s">
        <v>1025</v>
      </c>
      <c r="C584" s="431" t="s">
        <v>539</v>
      </c>
      <c r="D584" s="431" t="s">
        <v>259</v>
      </c>
      <c r="E584" s="357"/>
      <c r="F584" s="357">
        <v>1000</v>
      </c>
      <c r="G584" s="406"/>
      <c r="H584" s="406">
        <f t="shared" si="7"/>
        <v>79100</v>
      </c>
      <c r="I584" s="431" t="s">
        <v>131</v>
      </c>
      <c r="J584" s="357" t="s">
        <v>653</v>
      </c>
      <c r="K584" s="176"/>
    </row>
    <row r="585" spans="1:11" ht="15.6">
      <c r="A585" s="430">
        <v>46083</v>
      </c>
      <c r="B585" s="431" t="s">
        <v>1029</v>
      </c>
      <c r="C585" s="431" t="s">
        <v>539</v>
      </c>
      <c r="D585" s="431" t="s">
        <v>259</v>
      </c>
      <c r="E585" s="357"/>
      <c r="F585" s="357">
        <v>1000</v>
      </c>
      <c r="G585" s="406"/>
      <c r="H585" s="406">
        <f t="shared" si="7"/>
        <v>78100</v>
      </c>
      <c r="I585" s="431" t="s">
        <v>131</v>
      </c>
      <c r="J585" s="357" t="s">
        <v>653</v>
      </c>
      <c r="K585" s="176"/>
    </row>
    <row r="586" spans="1:11" ht="15.6">
      <c r="A586" s="430">
        <v>46083</v>
      </c>
      <c r="B586" s="431" t="s">
        <v>1029</v>
      </c>
      <c r="C586" s="431" t="s">
        <v>539</v>
      </c>
      <c r="D586" s="431" t="s">
        <v>259</v>
      </c>
      <c r="E586" s="357"/>
      <c r="F586" s="357">
        <v>1500</v>
      </c>
      <c r="G586" s="406"/>
      <c r="H586" s="406">
        <f t="shared" si="7"/>
        <v>76600</v>
      </c>
      <c r="I586" s="431" t="s">
        <v>131</v>
      </c>
      <c r="J586" s="357" t="s">
        <v>653</v>
      </c>
      <c r="K586" s="176"/>
    </row>
    <row r="587" spans="1:11" ht="15.6">
      <c r="A587" s="432">
        <v>46083</v>
      </c>
      <c r="B587" s="433" t="s">
        <v>646</v>
      </c>
      <c r="C587" s="433" t="s">
        <v>110</v>
      </c>
      <c r="D587" s="433" t="s">
        <v>259</v>
      </c>
      <c r="E587" s="356">
        <v>7500</v>
      </c>
      <c r="F587" s="356"/>
      <c r="G587" s="406"/>
      <c r="H587" s="406">
        <f t="shared" si="7"/>
        <v>84100</v>
      </c>
      <c r="I587" s="433" t="s">
        <v>131</v>
      </c>
      <c r="J587" s="356" t="s">
        <v>655</v>
      </c>
      <c r="K587" s="176"/>
    </row>
    <row r="588" spans="1:11" ht="15.6">
      <c r="A588" s="432">
        <v>46083</v>
      </c>
      <c r="B588" s="433" t="s">
        <v>646</v>
      </c>
      <c r="C588" s="433" t="s">
        <v>110</v>
      </c>
      <c r="D588" s="433" t="s">
        <v>259</v>
      </c>
      <c r="E588" s="356"/>
      <c r="F588" s="356">
        <v>7500</v>
      </c>
      <c r="G588" s="406"/>
      <c r="H588" s="406">
        <f t="shared" si="7"/>
        <v>76600</v>
      </c>
      <c r="I588" s="433" t="s">
        <v>131</v>
      </c>
      <c r="J588" s="356" t="s">
        <v>655</v>
      </c>
      <c r="K588" s="176"/>
    </row>
    <row r="589" spans="1:11" ht="15.6">
      <c r="A589" s="430">
        <v>46084</v>
      </c>
      <c r="B589" s="431" t="s">
        <v>1030</v>
      </c>
      <c r="C589" s="431" t="s">
        <v>542</v>
      </c>
      <c r="D589" s="431" t="s">
        <v>259</v>
      </c>
      <c r="E589" s="357"/>
      <c r="F589" s="357">
        <v>50000</v>
      </c>
      <c r="G589" s="406"/>
      <c r="H589" s="406">
        <f t="shared" si="7"/>
        <v>26600</v>
      </c>
      <c r="I589" s="431" t="s">
        <v>131</v>
      </c>
      <c r="J589" s="357" t="s">
        <v>656</v>
      </c>
      <c r="K589" s="176"/>
    </row>
    <row r="590" spans="1:11" ht="15.6">
      <c r="A590" s="430">
        <v>46084</v>
      </c>
      <c r="B590" s="431" t="s">
        <v>1025</v>
      </c>
      <c r="C590" s="431" t="s">
        <v>539</v>
      </c>
      <c r="D590" s="431" t="s">
        <v>259</v>
      </c>
      <c r="E590" s="357"/>
      <c r="F590" s="357">
        <v>2000</v>
      </c>
      <c r="G590" s="406"/>
      <c r="H590" s="406">
        <f t="shared" si="7"/>
        <v>24600</v>
      </c>
      <c r="I590" s="431" t="s">
        <v>131</v>
      </c>
      <c r="J590" s="357" t="s">
        <v>653</v>
      </c>
      <c r="K590" s="176"/>
    </row>
    <row r="591" spans="1:11" ht="15.6">
      <c r="A591" s="430">
        <v>46084</v>
      </c>
      <c r="B591" s="431" t="s">
        <v>1025</v>
      </c>
      <c r="C591" s="431" t="s">
        <v>539</v>
      </c>
      <c r="D591" s="431" t="s">
        <v>259</v>
      </c>
      <c r="E591" s="357"/>
      <c r="F591" s="357">
        <v>500</v>
      </c>
      <c r="G591" s="406"/>
      <c r="H591" s="406">
        <f t="shared" si="7"/>
        <v>24100</v>
      </c>
      <c r="I591" s="431" t="s">
        <v>131</v>
      </c>
      <c r="J591" s="357" t="s">
        <v>653</v>
      </c>
      <c r="K591" s="176"/>
    </row>
    <row r="592" spans="1:11" ht="15.6">
      <c r="A592" s="432">
        <v>46084</v>
      </c>
      <c r="B592" s="433" t="s">
        <v>1043</v>
      </c>
      <c r="C592" s="433" t="s">
        <v>402</v>
      </c>
      <c r="D592" s="433" t="s">
        <v>259</v>
      </c>
      <c r="E592" s="356"/>
      <c r="F592" s="356">
        <v>5000</v>
      </c>
      <c r="G592" s="406"/>
      <c r="H592" s="406">
        <f t="shared" si="7"/>
        <v>19100</v>
      </c>
      <c r="I592" s="433" t="s">
        <v>131</v>
      </c>
      <c r="J592" s="356" t="s">
        <v>657</v>
      </c>
      <c r="K592" s="176"/>
    </row>
    <row r="593" spans="1:11" ht="15.6">
      <c r="A593" s="430">
        <v>46084</v>
      </c>
      <c r="B593" s="431" t="s">
        <v>1027</v>
      </c>
      <c r="C593" s="431" t="s">
        <v>539</v>
      </c>
      <c r="D593" s="431" t="s">
        <v>259</v>
      </c>
      <c r="E593" s="357"/>
      <c r="F593" s="357">
        <v>500</v>
      </c>
      <c r="G593" s="406"/>
      <c r="H593" s="406">
        <f t="shared" si="7"/>
        <v>18600</v>
      </c>
      <c r="I593" s="431" t="s">
        <v>131</v>
      </c>
      <c r="J593" s="357" t="s">
        <v>653</v>
      </c>
      <c r="K593" s="176"/>
    </row>
    <row r="594" spans="1:11" ht="15.6">
      <c r="A594" s="430">
        <v>46084</v>
      </c>
      <c r="B594" s="431" t="s">
        <v>1027</v>
      </c>
      <c r="C594" s="431" t="s">
        <v>539</v>
      </c>
      <c r="D594" s="431" t="s">
        <v>259</v>
      </c>
      <c r="E594" s="357"/>
      <c r="F594" s="357">
        <v>500</v>
      </c>
      <c r="G594" s="406"/>
      <c r="H594" s="406">
        <f t="shared" si="7"/>
        <v>18100</v>
      </c>
      <c r="I594" s="431" t="s">
        <v>131</v>
      </c>
      <c r="J594" s="357" t="s">
        <v>653</v>
      </c>
      <c r="K594" s="176"/>
    </row>
    <row r="595" spans="1:11" ht="15.6">
      <c r="A595" s="430">
        <v>46085</v>
      </c>
      <c r="B595" s="431" t="s">
        <v>1027</v>
      </c>
      <c r="C595" s="431" t="s">
        <v>539</v>
      </c>
      <c r="D595" s="431" t="s">
        <v>259</v>
      </c>
      <c r="E595" s="357"/>
      <c r="F595" s="357">
        <v>500</v>
      </c>
      <c r="G595" s="406"/>
      <c r="H595" s="406">
        <f t="shared" si="7"/>
        <v>17600</v>
      </c>
      <c r="I595" s="431" t="s">
        <v>131</v>
      </c>
      <c r="J595" s="357" t="s">
        <v>653</v>
      </c>
      <c r="K595" s="176"/>
    </row>
    <row r="596" spans="1:11" ht="15.6">
      <c r="A596" s="430">
        <v>46085</v>
      </c>
      <c r="B596" s="431" t="s">
        <v>1027</v>
      </c>
      <c r="C596" s="431" t="s">
        <v>539</v>
      </c>
      <c r="D596" s="431" t="s">
        <v>259</v>
      </c>
      <c r="E596" s="357"/>
      <c r="F596" s="357">
        <v>500</v>
      </c>
      <c r="G596" s="406"/>
      <c r="H596" s="406">
        <f t="shared" si="7"/>
        <v>17100</v>
      </c>
      <c r="I596" s="431" t="s">
        <v>131</v>
      </c>
      <c r="J596" s="357" t="s">
        <v>653</v>
      </c>
      <c r="K596" s="176"/>
    </row>
    <row r="597" spans="1:11" ht="15.6">
      <c r="A597" s="430">
        <v>46085</v>
      </c>
      <c r="B597" s="431" t="s">
        <v>1050</v>
      </c>
      <c r="C597" s="431" t="s">
        <v>647</v>
      </c>
      <c r="D597" s="431" t="s">
        <v>259</v>
      </c>
      <c r="E597" s="357"/>
      <c r="F597" s="357">
        <v>2000</v>
      </c>
      <c r="G597" s="406"/>
      <c r="H597" s="406">
        <f t="shared" si="7"/>
        <v>15100</v>
      </c>
      <c r="I597" s="431" t="s">
        <v>131</v>
      </c>
      <c r="J597" s="357" t="s">
        <v>658</v>
      </c>
      <c r="K597" s="176"/>
    </row>
    <row r="598" spans="1:11" ht="15.6">
      <c r="A598" s="430">
        <v>46085</v>
      </c>
      <c r="B598" s="431" t="s">
        <v>1027</v>
      </c>
      <c r="C598" s="431" t="s">
        <v>539</v>
      </c>
      <c r="D598" s="431" t="s">
        <v>259</v>
      </c>
      <c r="E598" s="357"/>
      <c r="F598" s="357">
        <v>500</v>
      </c>
      <c r="G598" s="406"/>
      <c r="H598" s="406">
        <f t="shared" si="7"/>
        <v>14600</v>
      </c>
      <c r="I598" s="431" t="s">
        <v>131</v>
      </c>
      <c r="J598" s="357" t="s">
        <v>653</v>
      </c>
      <c r="K598" s="176"/>
    </row>
    <row r="599" spans="1:11" ht="15.6">
      <c r="A599" s="430">
        <v>46085</v>
      </c>
      <c r="B599" s="431" t="s">
        <v>645</v>
      </c>
      <c r="C599" s="431" t="s">
        <v>102</v>
      </c>
      <c r="D599" s="431" t="s">
        <v>259</v>
      </c>
      <c r="E599" s="357">
        <v>75000</v>
      </c>
      <c r="F599" s="357"/>
      <c r="G599" s="406"/>
      <c r="H599" s="406">
        <f t="shared" si="7"/>
        <v>89600</v>
      </c>
      <c r="I599" s="431" t="s">
        <v>131</v>
      </c>
      <c r="J599" s="357" t="s">
        <v>659</v>
      </c>
      <c r="K599" s="176"/>
    </row>
    <row r="600" spans="1:11" ht="15.6">
      <c r="A600" s="430">
        <v>46085</v>
      </c>
      <c r="B600" s="431" t="s">
        <v>1027</v>
      </c>
      <c r="C600" s="431" t="s">
        <v>539</v>
      </c>
      <c r="D600" s="431" t="s">
        <v>259</v>
      </c>
      <c r="E600" s="357"/>
      <c r="F600" s="357">
        <v>500</v>
      </c>
      <c r="G600" s="406"/>
      <c r="H600" s="406">
        <f t="shared" si="7"/>
        <v>89100</v>
      </c>
      <c r="I600" s="431" t="s">
        <v>131</v>
      </c>
      <c r="J600" s="357" t="s">
        <v>653</v>
      </c>
      <c r="K600" s="176"/>
    </row>
    <row r="601" spans="1:11" ht="15.6">
      <c r="A601" s="430">
        <v>46085</v>
      </c>
      <c r="B601" s="431" t="s">
        <v>1027</v>
      </c>
      <c r="C601" s="431" t="s">
        <v>539</v>
      </c>
      <c r="D601" s="431" t="s">
        <v>259</v>
      </c>
      <c r="E601" s="357"/>
      <c r="F601" s="357">
        <v>500</v>
      </c>
      <c r="G601" s="406"/>
      <c r="H601" s="406">
        <f t="shared" si="7"/>
        <v>88600</v>
      </c>
      <c r="I601" s="431" t="s">
        <v>131</v>
      </c>
      <c r="J601" s="357" t="s">
        <v>653</v>
      </c>
      <c r="K601" s="176"/>
    </row>
    <row r="602" spans="1:11" ht="15.6">
      <c r="A602" s="430">
        <v>46086</v>
      </c>
      <c r="B602" s="431" t="s">
        <v>1031</v>
      </c>
      <c r="C602" s="431" t="s">
        <v>539</v>
      </c>
      <c r="D602" s="431" t="s">
        <v>259</v>
      </c>
      <c r="E602" s="357"/>
      <c r="F602" s="357">
        <v>500</v>
      </c>
      <c r="G602" s="406"/>
      <c r="H602" s="406">
        <f t="shared" si="7"/>
        <v>88100</v>
      </c>
      <c r="I602" s="431" t="s">
        <v>131</v>
      </c>
      <c r="J602" s="357" t="s">
        <v>653</v>
      </c>
      <c r="K602" s="176"/>
    </row>
    <row r="603" spans="1:11" ht="15.6">
      <c r="A603" s="430">
        <v>46086</v>
      </c>
      <c r="B603" s="431" t="s">
        <v>1057</v>
      </c>
      <c r="C603" s="431" t="s">
        <v>647</v>
      </c>
      <c r="D603" s="431" t="s">
        <v>259</v>
      </c>
      <c r="E603" s="357"/>
      <c r="F603" s="357">
        <v>2000</v>
      </c>
      <c r="G603" s="406"/>
      <c r="H603" s="406">
        <f t="shared" si="7"/>
        <v>86100</v>
      </c>
      <c r="I603" s="431" t="s">
        <v>131</v>
      </c>
      <c r="J603" s="357" t="s">
        <v>658</v>
      </c>
      <c r="K603" s="176"/>
    </row>
    <row r="604" spans="1:11" ht="15.6">
      <c r="A604" s="430">
        <v>46086</v>
      </c>
      <c r="B604" s="431" t="s">
        <v>1027</v>
      </c>
      <c r="C604" s="431" t="s">
        <v>539</v>
      </c>
      <c r="D604" s="431" t="s">
        <v>259</v>
      </c>
      <c r="E604" s="357"/>
      <c r="F604" s="357">
        <v>500</v>
      </c>
      <c r="G604" s="406"/>
      <c r="H604" s="406">
        <f t="shared" si="7"/>
        <v>85600</v>
      </c>
      <c r="I604" s="431" t="s">
        <v>131</v>
      </c>
      <c r="J604" s="357" t="s">
        <v>653</v>
      </c>
      <c r="K604" s="176"/>
    </row>
    <row r="605" spans="1:11" ht="15.6">
      <c r="A605" s="430">
        <v>46086</v>
      </c>
      <c r="B605" s="431" t="s">
        <v>1027</v>
      </c>
      <c r="C605" s="431" t="s">
        <v>539</v>
      </c>
      <c r="D605" s="431" t="s">
        <v>259</v>
      </c>
      <c r="E605" s="357"/>
      <c r="F605" s="357">
        <v>500</v>
      </c>
      <c r="G605" s="406"/>
      <c r="H605" s="406">
        <f t="shared" si="7"/>
        <v>85100</v>
      </c>
      <c r="I605" s="431" t="s">
        <v>131</v>
      </c>
      <c r="J605" s="357" t="s">
        <v>653</v>
      </c>
      <c r="K605" s="176"/>
    </row>
    <row r="606" spans="1:11" ht="15.6">
      <c r="A606" s="430">
        <v>46086</v>
      </c>
      <c r="B606" s="431" t="s">
        <v>1027</v>
      </c>
      <c r="C606" s="431" t="s">
        <v>539</v>
      </c>
      <c r="D606" s="431" t="s">
        <v>259</v>
      </c>
      <c r="E606" s="357"/>
      <c r="F606" s="357">
        <v>500</v>
      </c>
      <c r="G606" s="406"/>
      <c r="H606" s="406">
        <f t="shared" si="7"/>
        <v>84600</v>
      </c>
      <c r="I606" s="431" t="s">
        <v>131</v>
      </c>
      <c r="J606" s="357" t="s">
        <v>653</v>
      </c>
      <c r="K606" s="176"/>
    </row>
    <row r="607" spans="1:11" ht="15.6">
      <c r="A607" s="430">
        <v>46086</v>
      </c>
      <c r="B607" s="431" t="s">
        <v>1027</v>
      </c>
      <c r="C607" s="431" t="s">
        <v>539</v>
      </c>
      <c r="D607" s="431" t="s">
        <v>259</v>
      </c>
      <c r="E607" s="357"/>
      <c r="F607" s="357">
        <v>500</v>
      </c>
      <c r="G607" s="406"/>
      <c r="H607" s="406">
        <f t="shared" si="7"/>
        <v>84100</v>
      </c>
      <c r="I607" s="431" t="s">
        <v>131</v>
      </c>
      <c r="J607" s="357" t="s">
        <v>653</v>
      </c>
      <c r="K607" s="176"/>
    </row>
    <row r="608" spans="1:11" ht="15.6">
      <c r="A608" s="432">
        <v>46087</v>
      </c>
      <c r="B608" s="433" t="s">
        <v>1039</v>
      </c>
      <c r="C608" s="433" t="s">
        <v>542</v>
      </c>
      <c r="D608" s="433" t="s">
        <v>259</v>
      </c>
      <c r="E608" s="356"/>
      <c r="F608" s="356">
        <v>30000</v>
      </c>
      <c r="G608" s="406"/>
      <c r="H608" s="406">
        <f t="shared" si="7"/>
        <v>54100</v>
      </c>
      <c r="I608" s="433" t="s">
        <v>131</v>
      </c>
      <c r="J608" s="356" t="s">
        <v>660</v>
      </c>
      <c r="K608" s="176"/>
    </row>
    <row r="609" spans="1:11" ht="15.6">
      <c r="A609" s="430">
        <v>46087</v>
      </c>
      <c r="B609" s="431" t="s">
        <v>1027</v>
      </c>
      <c r="C609" s="431" t="s">
        <v>539</v>
      </c>
      <c r="D609" s="431" t="s">
        <v>259</v>
      </c>
      <c r="E609" s="357"/>
      <c r="F609" s="357">
        <v>500</v>
      </c>
      <c r="G609" s="406"/>
      <c r="H609" s="406">
        <f t="shared" si="7"/>
        <v>53600</v>
      </c>
      <c r="I609" s="431" t="s">
        <v>131</v>
      </c>
      <c r="J609" s="357" t="s">
        <v>653</v>
      </c>
      <c r="K609" s="176"/>
    </row>
    <row r="610" spans="1:11" ht="15.6">
      <c r="A610" s="432">
        <v>46087</v>
      </c>
      <c r="B610" s="433" t="s">
        <v>1028</v>
      </c>
      <c r="C610" s="433" t="s">
        <v>402</v>
      </c>
      <c r="D610" s="433" t="s">
        <v>259</v>
      </c>
      <c r="E610" s="356"/>
      <c r="F610" s="356">
        <v>5000</v>
      </c>
      <c r="G610" s="406"/>
      <c r="H610" s="406">
        <f t="shared" si="7"/>
        <v>48600</v>
      </c>
      <c r="I610" s="433" t="s">
        <v>131</v>
      </c>
      <c r="J610" s="356" t="s">
        <v>661</v>
      </c>
      <c r="K610" s="176"/>
    </row>
    <row r="611" spans="1:11" ht="15.6">
      <c r="A611" s="430">
        <v>46087</v>
      </c>
      <c r="B611" s="431" t="s">
        <v>1027</v>
      </c>
      <c r="C611" s="431" t="s">
        <v>539</v>
      </c>
      <c r="D611" s="431" t="s">
        <v>259</v>
      </c>
      <c r="E611" s="357"/>
      <c r="F611" s="357">
        <v>500</v>
      </c>
      <c r="G611" s="406"/>
      <c r="H611" s="406">
        <f t="shared" si="7"/>
        <v>48100</v>
      </c>
      <c r="I611" s="431" t="s">
        <v>131</v>
      </c>
      <c r="J611" s="357" t="s">
        <v>653</v>
      </c>
      <c r="K611" s="176"/>
    </row>
    <row r="612" spans="1:11" ht="15.6">
      <c r="A612" s="430">
        <v>46087</v>
      </c>
      <c r="B612" s="431" t="s">
        <v>1027</v>
      </c>
      <c r="C612" s="431" t="s">
        <v>539</v>
      </c>
      <c r="D612" s="431" t="s">
        <v>259</v>
      </c>
      <c r="E612" s="357"/>
      <c r="F612" s="357">
        <v>500</v>
      </c>
      <c r="G612" s="406"/>
      <c r="H612" s="406">
        <f t="shared" si="7"/>
        <v>47600</v>
      </c>
      <c r="I612" s="431" t="s">
        <v>131</v>
      </c>
      <c r="J612" s="357" t="s">
        <v>653</v>
      </c>
      <c r="K612" s="176"/>
    </row>
    <row r="613" spans="1:11" ht="15.6">
      <c r="A613" s="430">
        <v>46087</v>
      </c>
      <c r="B613" s="431" t="s">
        <v>1031</v>
      </c>
      <c r="C613" s="431" t="s">
        <v>539</v>
      </c>
      <c r="D613" s="431" t="s">
        <v>259</v>
      </c>
      <c r="E613" s="357"/>
      <c r="F613" s="357">
        <v>500</v>
      </c>
      <c r="G613" s="406"/>
      <c r="H613" s="406">
        <f t="shared" si="7"/>
        <v>47100</v>
      </c>
      <c r="I613" s="431" t="s">
        <v>131</v>
      </c>
      <c r="J613" s="357" t="s">
        <v>653</v>
      </c>
      <c r="K613" s="176"/>
    </row>
    <row r="614" spans="1:11" ht="15.6">
      <c r="A614" s="430">
        <v>46087</v>
      </c>
      <c r="B614" s="431" t="s">
        <v>1031</v>
      </c>
      <c r="C614" s="431" t="s">
        <v>539</v>
      </c>
      <c r="D614" s="431" t="s">
        <v>259</v>
      </c>
      <c r="E614" s="357"/>
      <c r="F614" s="357">
        <v>500</v>
      </c>
      <c r="G614" s="406"/>
      <c r="H614" s="406">
        <f t="shared" si="7"/>
        <v>46600</v>
      </c>
      <c r="I614" s="431" t="s">
        <v>131</v>
      </c>
      <c r="J614" s="357" t="s">
        <v>653</v>
      </c>
      <c r="K614" s="176"/>
    </row>
    <row r="615" spans="1:11" ht="15.6">
      <c r="A615" s="430">
        <v>46087</v>
      </c>
      <c r="B615" s="431" t="s">
        <v>1041</v>
      </c>
      <c r="C615" s="431" t="s">
        <v>647</v>
      </c>
      <c r="D615" s="431" t="s">
        <v>259</v>
      </c>
      <c r="E615" s="357"/>
      <c r="F615" s="357">
        <v>1500</v>
      </c>
      <c r="G615" s="406"/>
      <c r="H615" s="406">
        <f t="shared" si="7"/>
        <v>45100</v>
      </c>
      <c r="I615" s="431" t="s">
        <v>131</v>
      </c>
      <c r="J615" s="357" t="s">
        <v>658</v>
      </c>
      <c r="K615" s="176"/>
    </row>
    <row r="616" spans="1:11" ht="15.6">
      <c r="A616" s="430">
        <v>46087</v>
      </c>
      <c r="B616" s="431" t="s">
        <v>1031</v>
      </c>
      <c r="C616" s="431" t="s">
        <v>539</v>
      </c>
      <c r="D616" s="431" t="s">
        <v>259</v>
      </c>
      <c r="E616" s="357"/>
      <c r="F616" s="357">
        <v>500</v>
      </c>
      <c r="G616" s="406"/>
      <c r="H616" s="406">
        <f t="shared" si="7"/>
        <v>44600</v>
      </c>
      <c r="I616" s="431" t="s">
        <v>131</v>
      </c>
      <c r="J616" s="357" t="s">
        <v>653</v>
      </c>
      <c r="K616" s="176"/>
    </row>
    <row r="617" spans="1:11" ht="15.6">
      <c r="A617" s="430">
        <v>46087</v>
      </c>
      <c r="B617" s="431" t="s">
        <v>1027</v>
      </c>
      <c r="C617" s="431" t="s">
        <v>539</v>
      </c>
      <c r="D617" s="431" t="s">
        <v>259</v>
      </c>
      <c r="E617" s="357"/>
      <c r="F617" s="357">
        <v>500</v>
      </c>
      <c r="G617" s="406"/>
      <c r="H617" s="406">
        <f t="shared" si="7"/>
        <v>44100</v>
      </c>
      <c r="I617" s="431" t="s">
        <v>131</v>
      </c>
      <c r="J617" s="357" t="s">
        <v>653</v>
      </c>
      <c r="K617" s="176"/>
    </row>
    <row r="618" spans="1:11" ht="15.6">
      <c r="A618" s="430">
        <v>46088</v>
      </c>
      <c r="B618" s="431" t="s">
        <v>1027</v>
      </c>
      <c r="C618" s="431" t="s">
        <v>539</v>
      </c>
      <c r="D618" s="431" t="s">
        <v>259</v>
      </c>
      <c r="E618" s="357"/>
      <c r="F618" s="357">
        <v>500</v>
      </c>
      <c r="G618" s="406"/>
      <c r="H618" s="406">
        <f t="shared" si="7"/>
        <v>43600</v>
      </c>
      <c r="I618" s="431" t="s">
        <v>131</v>
      </c>
      <c r="J618" s="357" t="s">
        <v>653</v>
      </c>
      <c r="K618" s="176"/>
    </row>
    <row r="619" spans="1:11" ht="15.6">
      <c r="A619" s="430">
        <v>46088</v>
      </c>
      <c r="B619" s="431" t="s">
        <v>1027</v>
      </c>
      <c r="C619" s="431" t="s">
        <v>539</v>
      </c>
      <c r="D619" s="431" t="s">
        <v>259</v>
      </c>
      <c r="E619" s="357"/>
      <c r="F619" s="357">
        <v>500</v>
      </c>
      <c r="G619" s="406"/>
      <c r="H619" s="406">
        <f t="shared" si="7"/>
        <v>43100</v>
      </c>
      <c r="I619" s="431" t="s">
        <v>131</v>
      </c>
      <c r="J619" s="357" t="s">
        <v>653</v>
      </c>
      <c r="K619" s="176"/>
    </row>
    <row r="620" spans="1:11" ht="15.6">
      <c r="A620" s="430">
        <v>46088</v>
      </c>
      <c r="B620" s="431" t="s">
        <v>1041</v>
      </c>
      <c r="C620" s="431" t="s">
        <v>647</v>
      </c>
      <c r="D620" s="431" t="s">
        <v>259</v>
      </c>
      <c r="E620" s="357"/>
      <c r="F620" s="357">
        <v>2000</v>
      </c>
      <c r="G620" s="406"/>
      <c r="H620" s="406">
        <f t="shared" si="7"/>
        <v>41100</v>
      </c>
      <c r="I620" s="431" t="s">
        <v>131</v>
      </c>
      <c r="J620" s="357" t="s">
        <v>658</v>
      </c>
      <c r="K620" s="176"/>
    </row>
    <row r="621" spans="1:11" ht="15.6">
      <c r="A621" s="430">
        <v>46088</v>
      </c>
      <c r="B621" s="431" t="s">
        <v>1027</v>
      </c>
      <c r="C621" s="431" t="s">
        <v>539</v>
      </c>
      <c r="D621" s="431" t="s">
        <v>259</v>
      </c>
      <c r="E621" s="357"/>
      <c r="F621" s="357">
        <v>500</v>
      </c>
      <c r="G621" s="406"/>
      <c r="H621" s="406">
        <f t="shared" si="7"/>
        <v>40600</v>
      </c>
      <c r="I621" s="431" t="s">
        <v>131</v>
      </c>
      <c r="J621" s="357" t="s">
        <v>653</v>
      </c>
      <c r="K621" s="176"/>
    </row>
    <row r="622" spans="1:11" ht="15.6">
      <c r="A622" s="430">
        <v>46088</v>
      </c>
      <c r="B622" s="431" t="s">
        <v>1027</v>
      </c>
      <c r="C622" s="431" t="s">
        <v>539</v>
      </c>
      <c r="D622" s="431" t="s">
        <v>259</v>
      </c>
      <c r="E622" s="357"/>
      <c r="F622" s="357">
        <v>500</v>
      </c>
      <c r="G622" s="406"/>
      <c r="H622" s="406">
        <f t="shared" si="7"/>
        <v>40100</v>
      </c>
      <c r="I622" s="431" t="s">
        <v>131</v>
      </c>
      <c r="J622" s="357" t="s">
        <v>653</v>
      </c>
      <c r="K622" s="176"/>
    </row>
    <row r="623" spans="1:11" ht="15.6">
      <c r="A623" s="430">
        <v>46088</v>
      </c>
      <c r="B623" s="431" t="s">
        <v>1027</v>
      </c>
      <c r="C623" s="431" t="s">
        <v>539</v>
      </c>
      <c r="D623" s="431" t="s">
        <v>259</v>
      </c>
      <c r="E623" s="357"/>
      <c r="F623" s="357">
        <v>500</v>
      </c>
      <c r="G623" s="406"/>
      <c r="H623" s="406">
        <f t="shared" si="7"/>
        <v>39600</v>
      </c>
      <c r="I623" s="431" t="s">
        <v>131</v>
      </c>
      <c r="J623" s="357" t="s">
        <v>653</v>
      </c>
      <c r="K623" s="176"/>
    </row>
    <row r="624" spans="1:11" ht="15.6">
      <c r="A624" s="432">
        <v>46089</v>
      </c>
      <c r="B624" s="433" t="s">
        <v>1042</v>
      </c>
      <c r="C624" s="433" t="s">
        <v>542</v>
      </c>
      <c r="D624" s="433" t="s">
        <v>259</v>
      </c>
      <c r="E624" s="356"/>
      <c r="F624" s="356">
        <v>20000</v>
      </c>
      <c r="G624" s="406"/>
      <c r="H624" s="406">
        <f t="shared" si="7"/>
        <v>19600</v>
      </c>
      <c r="I624" s="433" t="s">
        <v>131</v>
      </c>
      <c r="J624" s="356" t="s">
        <v>662</v>
      </c>
      <c r="K624" s="176"/>
    </row>
    <row r="625" spans="1:11" ht="15.6">
      <c r="A625" s="430">
        <v>46089</v>
      </c>
      <c r="B625" s="431" t="s">
        <v>1027</v>
      </c>
      <c r="C625" s="431" t="s">
        <v>539</v>
      </c>
      <c r="D625" s="431" t="s">
        <v>259</v>
      </c>
      <c r="E625" s="357"/>
      <c r="F625" s="357">
        <v>500</v>
      </c>
      <c r="G625" s="406"/>
      <c r="H625" s="406">
        <f t="shared" si="7"/>
        <v>19100</v>
      </c>
      <c r="I625" s="431" t="s">
        <v>131</v>
      </c>
      <c r="J625" s="357" t="s">
        <v>653</v>
      </c>
      <c r="K625" s="176"/>
    </row>
    <row r="626" spans="1:11" ht="15.6">
      <c r="A626" s="432">
        <v>46089</v>
      </c>
      <c r="B626" s="433" t="s">
        <v>1028</v>
      </c>
      <c r="C626" s="433" t="s">
        <v>402</v>
      </c>
      <c r="D626" s="433" t="s">
        <v>259</v>
      </c>
      <c r="E626" s="356"/>
      <c r="F626" s="356">
        <v>8000</v>
      </c>
      <c r="G626" s="406"/>
      <c r="H626" s="406">
        <f t="shared" si="7"/>
        <v>11100</v>
      </c>
      <c r="I626" s="433" t="s">
        <v>131</v>
      </c>
      <c r="J626" s="356" t="s">
        <v>663</v>
      </c>
      <c r="K626" s="176"/>
    </row>
    <row r="627" spans="1:11" ht="15.6">
      <c r="A627" s="430">
        <v>46089</v>
      </c>
      <c r="B627" s="431" t="s">
        <v>1025</v>
      </c>
      <c r="C627" s="431" t="s">
        <v>539</v>
      </c>
      <c r="D627" s="431" t="s">
        <v>259</v>
      </c>
      <c r="E627" s="357"/>
      <c r="F627" s="357">
        <v>2000</v>
      </c>
      <c r="G627" s="406"/>
      <c r="H627" s="406">
        <f t="shared" si="7"/>
        <v>9100</v>
      </c>
      <c r="I627" s="431" t="s">
        <v>131</v>
      </c>
      <c r="J627" s="357" t="s">
        <v>653</v>
      </c>
      <c r="K627" s="176"/>
    </row>
    <row r="628" spans="1:11" ht="15.6">
      <c r="A628" s="430">
        <v>46090</v>
      </c>
      <c r="B628" s="431" t="s">
        <v>645</v>
      </c>
      <c r="C628" s="431" t="s">
        <v>102</v>
      </c>
      <c r="D628" s="431" t="s">
        <v>259</v>
      </c>
      <c r="E628" s="357">
        <v>110000</v>
      </c>
      <c r="F628" s="357"/>
      <c r="G628" s="406"/>
      <c r="H628" s="406">
        <f t="shared" si="7"/>
        <v>119100</v>
      </c>
      <c r="I628" s="431" t="s">
        <v>131</v>
      </c>
      <c r="J628" s="357" t="s">
        <v>664</v>
      </c>
      <c r="K628" s="176"/>
    </row>
    <row r="629" spans="1:11" ht="15.6">
      <c r="A629" s="430">
        <v>46090</v>
      </c>
      <c r="B629" s="431" t="s">
        <v>1025</v>
      </c>
      <c r="C629" s="431" t="s">
        <v>539</v>
      </c>
      <c r="D629" s="431" t="s">
        <v>259</v>
      </c>
      <c r="E629" s="357"/>
      <c r="F629" s="357">
        <v>1000</v>
      </c>
      <c r="G629" s="406"/>
      <c r="H629" s="406">
        <f t="shared" si="7"/>
        <v>118100</v>
      </c>
      <c r="I629" s="431" t="s">
        <v>131</v>
      </c>
      <c r="J629" s="357" t="s">
        <v>653</v>
      </c>
      <c r="K629" s="176"/>
    </row>
    <row r="630" spans="1:11" ht="15.6">
      <c r="A630" s="430">
        <v>46090</v>
      </c>
      <c r="B630" s="431" t="s">
        <v>1025</v>
      </c>
      <c r="C630" s="431" t="s">
        <v>539</v>
      </c>
      <c r="D630" s="431" t="s">
        <v>259</v>
      </c>
      <c r="E630" s="357"/>
      <c r="F630" s="357">
        <v>2000</v>
      </c>
      <c r="G630" s="406"/>
      <c r="H630" s="406">
        <f t="shared" si="7"/>
        <v>116100</v>
      </c>
      <c r="I630" s="431" t="s">
        <v>131</v>
      </c>
      <c r="J630" s="357" t="s">
        <v>653</v>
      </c>
      <c r="K630" s="176"/>
    </row>
    <row r="631" spans="1:11" ht="15.6">
      <c r="A631" s="430">
        <v>46091</v>
      </c>
      <c r="B631" s="431" t="s">
        <v>1030</v>
      </c>
      <c r="C631" s="431" t="s">
        <v>542</v>
      </c>
      <c r="D631" s="431" t="s">
        <v>259</v>
      </c>
      <c r="E631" s="357"/>
      <c r="F631" s="357">
        <v>70000</v>
      </c>
      <c r="G631" s="406"/>
      <c r="H631" s="406">
        <f t="shared" si="7"/>
        <v>46100</v>
      </c>
      <c r="I631" s="431" t="s">
        <v>131</v>
      </c>
      <c r="J631" s="357" t="s">
        <v>665</v>
      </c>
      <c r="K631" s="176"/>
    </row>
    <row r="632" spans="1:11" ht="15.6">
      <c r="A632" s="430">
        <v>46091</v>
      </c>
      <c r="B632" s="431" t="s">
        <v>1025</v>
      </c>
      <c r="C632" s="431" t="s">
        <v>539</v>
      </c>
      <c r="D632" s="431" t="s">
        <v>259</v>
      </c>
      <c r="E632" s="357"/>
      <c r="F632" s="357">
        <v>2000</v>
      </c>
      <c r="G632" s="406"/>
      <c r="H632" s="406">
        <f t="shared" si="7"/>
        <v>44100</v>
      </c>
      <c r="I632" s="431" t="s">
        <v>131</v>
      </c>
      <c r="J632" s="357" t="s">
        <v>653</v>
      </c>
      <c r="K632" s="176"/>
    </row>
    <row r="633" spans="1:11" ht="15.6">
      <c r="A633" s="432">
        <v>46091</v>
      </c>
      <c r="B633" s="433" t="s">
        <v>1028</v>
      </c>
      <c r="C633" s="433" t="s">
        <v>402</v>
      </c>
      <c r="D633" s="433" t="s">
        <v>259</v>
      </c>
      <c r="E633" s="356"/>
      <c r="F633" s="356">
        <v>9000</v>
      </c>
      <c r="G633" s="406"/>
      <c r="H633" s="406">
        <f t="shared" si="7"/>
        <v>35100</v>
      </c>
      <c r="I633" s="433" t="s">
        <v>131</v>
      </c>
      <c r="J633" s="356" t="s">
        <v>666</v>
      </c>
      <c r="K633" s="176"/>
    </row>
    <row r="634" spans="1:11" ht="15.6">
      <c r="A634" s="430">
        <v>46091</v>
      </c>
      <c r="B634" s="431" t="s">
        <v>1027</v>
      </c>
      <c r="C634" s="431" t="s">
        <v>539</v>
      </c>
      <c r="D634" s="431" t="s">
        <v>259</v>
      </c>
      <c r="E634" s="357"/>
      <c r="F634" s="357">
        <v>400</v>
      </c>
      <c r="G634" s="406"/>
      <c r="H634" s="406">
        <f t="shared" si="7"/>
        <v>34700</v>
      </c>
      <c r="I634" s="431" t="s">
        <v>131</v>
      </c>
      <c r="J634" s="357" t="s">
        <v>653</v>
      </c>
      <c r="K634" s="176"/>
    </row>
    <row r="635" spans="1:11" ht="15.6">
      <c r="A635" s="432">
        <v>46091</v>
      </c>
      <c r="B635" s="433" t="s">
        <v>648</v>
      </c>
      <c r="C635" s="433" t="s">
        <v>110</v>
      </c>
      <c r="D635" s="433" t="s">
        <v>259</v>
      </c>
      <c r="E635" s="356">
        <v>7500</v>
      </c>
      <c r="F635" s="356"/>
      <c r="G635" s="406"/>
      <c r="H635" s="406">
        <f t="shared" si="7"/>
        <v>42200</v>
      </c>
      <c r="I635" s="433" t="s">
        <v>131</v>
      </c>
      <c r="J635" s="356" t="s">
        <v>667</v>
      </c>
      <c r="K635" s="176"/>
    </row>
    <row r="636" spans="1:11" ht="15.6">
      <c r="A636" s="432">
        <v>46091</v>
      </c>
      <c r="B636" s="433" t="s">
        <v>648</v>
      </c>
      <c r="C636" s="433" t="s">
        <v>110</v>
      </c>
      <c r="D636" s="433" t="s">
        <v>259</v>
      </c>
      <c r="E636" s="356"/>
      <c r="F636" s="356">
        <v>7500</v>
      </c>
      <c r="G636" s="406"/>
      <c r="H636" s="406">
        <f t="shared" si="7"/>
        <v>34700</v>
      </c>
      <c r="I636" s="433" t="s">
        <v>131</v>
      </c>
      <c r="J636" s="356" t="s">
        <v>667</v>
      </c>
      <c r="K636" s="176"/>
    </row>
    <row r="637" spans="1:11" ht="15.6">
      <c r="A637" s="430">
        <v>46092</v>
      </c>
      <c r="B637" s="431" t="s">
        <v>1027</v>
      </c>
      <c r="C637" s="431" t="s">
        <v>539</v>
      </c>
      <c r="D637" s="431" t="s">
        <v>259</v>
      </c>
      <c r="E637" s="357"/>
      <c r="F637" s="357">
        <v>500</v>
      </c>
      <c r="G637" s="406"/>
      <c r="H637" s="406">
        <f t="shared" si="7"/>
        <v>34200</v>
      </c>
      <c r="I637" s="431" t="s">
        <v>131</v>
      </c>
      <c r="J637" s="357" t="s">
        <v>653</v>
      </c>
      <c r="K637" s="176"/>
    </row>
    <row r="638" spans="1:11" ht="15.6">
      <c r="A638" s="430">
        <v>46092</v>
      </c>
      <c r="B638" s="431" t="s">
        <v>1027</v>
      </c>
      <c r="C638" s="431" t="s">
        <v>539</v>
      </c>
      <c r="D638" s="431" t="s">
        <v>259</v>
      </c>
      <c r="E638" s="357"/>
      <c r="F638" s="357">
        <v>400</v>
      </c>
      <c r="G638" s="406"/>
      <c r="H638" s="406">
        <f t="shared" si="7"/>
        <v>33800</v>
      </c>
      <c r="I638" s="431" t="s">
        <v>131</v>
      </c>
      <c r="J638" s="357" t="s">
        <v>653</v>
      </c>
      <c r="K638" s="176"/>
    </row>
    <row r="639" spans="1:11" ht="15.6">
      <c r="A639" s="430">
        <v>46092</v>
      </c>
      <c r="B639" s="431" t="s">
        <v>645</v>
      </c>
      <c r="C639" s="431" t="s">
        <v>102</v>
      </c>
      <c r="D639" s="431" t="s">
        <v>259</v>
      </c>
      <c r="E639" s="357">
        <v>103000</v>
      </c>
      <c r="F639" s="357"/>
      <c r="G639" s="406"/>
      <c r="H639" s="406">
        <f t="shared" si="7"/>
        <v>136800</v>
      </c>
      <c r="I639" s="431" t="s">
        <v>131</v>
      </c>
      <c r="J639" s="357" t="s">
        <v>668</v>
      </c>
      <c r="K639" s="176"/>
    </row>
    <row r="640" spans="1:11" ht="15.6">
      <c r="A640" s="430">
        <v>46092</v>
      </c>
      <c r="B640" s="431" t="s">
        <v>1027</v>
      </c>
      <c r="C640" s="431" t="s">
        <v>539</v>
      </c>
      <c r="D640" s="431" t="s">
        <v>259</v>
      </c>
      <c r="E640" s="357"/>
      <c r="F640" s="357">
        <v>500</v>
      </c>
      <c r="G640" s="406"/>
      <c r="H640" s="406">
        <f t="shared" si="7"/>
        <v>136300</v>
      </c>
      <c r="I640" s="431" t="s">
        <v>131</v>
      </c>
      <c r="J640" s="357" t="s">
        <v>653</v>
      </c>
      <c r="K640" s="176"/>
    </row>
    <row r="641" spans="1:11" ht="15.6">
      <c r="A641" s="430">
        <v>46092</v>
      </c>
      <c r="B641" s="431" t="s">
        <v>1027</v>
      </c>
      <c r="C641" s="431" t="s">
        <v>539</v>
      </c>
      <c r="D641" s="431" t="s">
        <v>259</v>
      </c>
      <c r="E641" s="357"/>
      <c r="F641" s="357">
        <v>500</v>
      </c>
      <c r="G641" s="406"/>
      <c r="H641" s="406">
        <f t="shared" si="7"/>
        <v>135800</v>
      </c>
      <c r="I641" s="431" t="s">
        <v>131</v>
      </c>
      <c r="J641" s="357" t="s">
        <v>653</v>
      </c>
      <c r="K641" s="176"/>
    </row>
    <row r="642" spans="1:11" ht="15.6">
      <c r="A642" s="430">
        <v>46092</v>
      </c>
      <c r="B642" s="431" t="s">
        <v>1027</v>
      </c>
      <c r="C642" s="431" t="s">
        <v>539</v>
      </c>
      <c r="D642" s="431" t="s">
        <v>259</v>
      </c>
      <c r="E642" s="357"/>
      <c r="F642" s="357">
        <v>400</v>
      </c>
      <c r="G642" s="406"/>
      <c r="H642" s="406">
        <f t="shared" si="7"/>
        <v>135400</v>
      </c>
      <c r="I642" s="431" t="s">
        <v>131</v>
      </c>
      <c r="J642" s="357" t="s">
        <v>653</v>
      </c>
      <c r="K642" s="176"/>
    </row>
    <row r="643" spans="1:11" ht="15.6">
      <c r="A643" s="432">
        <v>46092</v>
      </c>
      <c r="B643" s="433" t="s">
        <v>1041</v>
      </c>
      <c r="C643" s="433" t="s">
        <v>647</v>
      </c>
      <c r="D643" s="433" t="s">
        <v>259</v>
      </c>
      <c r="E643" s="356"/>
      <c r="F643" s="356">
        <v>5500</v>
      </c>
      <c r="G643" s="406"/>
      <c r="H643" s="406">
        <f t="shared" si="7"/>
        <v>129900</v>
      </c>
      <c r="I643" s="433" t="s">
        <v>131</v>
      </c>
      <c r="J643" s="357" t="s">
        <v>658</v>
      </c>
      <c r="K643" s="176"/>
    </row>
    <row r="644" spans="1:11" ht="15.6">
      <c r="A644" s="430">
        <v>46092</v>
      </c>
      <c r="B644" s="431" t="s">
        <v>1027</v>
      </c>
      <c r="C644" s="431" t="s">
        <v>539</v>
      </c>
      <c r="D644" s="431" t="s">
        <v>259</v>
      </c>
      <c r="E644" s="357"/>
      <c r="F644" s="357">
        <v>500</v>
      </c>
      <c r="G644" s="406"/>
      <c r="H644" s="406">
        <f t="shared" si="7"/>
        <v>129400</v>
      </c>
      <c r="I644" s="431" t="s">
        <v>131</v>
      </c>
      <c r="J644" s="357" t="s">
        <v>653</v>
      </c>
      <c r="K644" s="176"/>
    </row>
    <row r="645" spans="1:11" ht="15.6">
      <c r="A645" s="430">
        <v>46093</v>
      </c>
      <c r="B645" s="431" t="s">
        <v>1027</v>
      </c>
      <c r="C645" s="431" t="s">
        <v>539</v>
      </c>
      <c r="D645" s="431" t="s">
        <v>259</v>
      </c>
      <c r="E645" s="357"/>
      <c r="F645" s="357">
        <v>500</v>
      </c>
      <c r="G645" s="406"/>
      <c r="H645" s="406">
        <f t="shared" ref="H645:H708" si="8">+H644+E645-F645</f>
        <v>128900</v>
      </c>
      <c r="I645" s="431" t="s">
        <v>131</v>
      </c>
      <c r="J645" s="357" t="s">
        <v>653</v>
      </c>
      <c r="K645" s="176"/>
    </row>
    <row r="646" spans="1:11" ht="15.6">
      <c r="A646" s="430">
        <v>46093</v>
      </c>
      <c r="B646" s="431" t="s">
        <v>1027</v>
      </c>
      <c r="C646" s="431" t="s">
        <v>539</v>
      </c>
      <c r="D646" s="431" t="s">
        <v>259</v>
      </c>
      <c r="E646" s="357"/>
      <c r="F646" s="357">
        <v>400</v>
      </c>
      <c r="G646" s="406"/>
      <c r="H646" s="406">
        <f t="shared" si="8"/>
        <v>128500</v>
      </c>
      <c r="I646" s="431" t="s">
        <v>131</v>
      </c>
      <c r="J646" s="357" t="s">
        <v>653</v>
      </c>
      <c r="K646" s="176"/>
    </row>
    <row r="647" spans="1:11" ht="15.6">
      <c r="A647" s="430">
        <v>46093</v>
      </c>
      <c r="B647" s="431" t="s">
        <v>1050</v>
      </c>
      <c r="C647" s="431" t="s">
        <v>647</v>
      </c>
      <c r="D647" s="431" t="s">
        <v>259</v>
      </c>
      <c r="E647" s="357"/>
      <c r="F647" s="357">
        <v>1650</v>
      </c>
      <c r="G647" s="406"/>
      <c r="H647" s="406">
        <f t="shared" si="8"/>
        <v>126850</v>
      </c>
      <c r="I647" s="431" t="s">
        <v>131</v>
      </c>
      <c r="J647" s="357" t="s">
        <v>658</v>
      </c>
      <c r="K647" s="176"/>
    </row>
    <row r="648" spans="1:11" ht="15.6">
      <c r="A648" s="430">
        <v>46093</v>
      </c>
      <c r="B648" s="431" t="s">
        <v>1031</v>
      </c>
      <c r="C648" s="431" t="s">
        <v>539</v>
      </c>
      <c r="D648" s="431" t="s">
        <v>259</v>
      </c>
      <c r="E648" s="357"/>
      <c r="F648" s="357">
        <v>500</v>
      </c>
      <c r="G648" s="406"/>
      <c r="H648" s="406">
        <f t="shared" si="8"/>
        <v>126350</v>
      </c>
      <c r="I648" s="431" t="s">
        <v>131</v>
      </c>
      <c r="J648" s="357" t="s">
        <v>653</v>
      </c>
      <c r="K648" s="176"/>
    </row>
    <row r="649" spans="1:11" ht="15.6">
      <c r="A649" s="430">
        <v>46093</v>
      </c>
      <c r="B649" s="431" t="s">
        <v>1027</v>
      </c>
      <c r="C649" s="431" t="s">
        <v>539</v>
      </c>
      <c r="D649" s="431" t="s">
        <v>259</v>
      </c>
      <c r="E649" s="357"/>
      <c r="F649" s="357">
        <v>400</v>
      </c>
      <c r="G649" s="406"/>
      <c r="H649" s="406">
        <f t="shared" si="8"/>
        <v>125950</v>
      </c>
      <c r="I649" s="431" t="s">
        <v>131</v>
      </c>
      <c r="J649" s="357" t="s">
        <v>653</v>
      </c>
      <c r="K649" s="176"/>
    </row>
    <row r="650" spans="1:11" ht="15.6">
      <c r="A650" s="430">
        <v>46093</v>
      </c>
      <c r="B650" s="431" t="s">
        <v>1027</v>
      </c>
      <c r="C650" s="431" t="s">
        <v>539</v>
      </c>
      <c r="D650" s="431" t="s">
        <v>259</v>
      </c>
      <c r="E650" s="357"/>
      <c r="F650" s="357">
        <v>500</v>
      </c>
      <c r="G650" s="406"/>
      <c r="H650" s="406">
        <f t="shared" si="8"/>
        <v>125450</v>
      </c>
      <c r="I650" s="431" t="s">
        <v>131</v>
      </c>
      <c r="J650" s="357" t="s">
        <v>653</v>
      </c>
      <c r="K650" s="176"/>
    </row>
    <row r="651" spans="1:11" ht="15.6">
      <c r="A651" s="432">
        <v>46094</v>
      </c>
      <c r="B651" s="433" t="s">
        <v>1055</v>
      </c>
      <c r="C651" s="433" t="s">
        <v>542</v>
      </c>
      <c r="D651" s="433" t="s">
        <v>259</v>
      </c>
      <c r="E651" s="356"/>
      <c r="F651" s="356">
        <v>30000</v>
      </c>
      <c r="G651" s="406"/>
      <c r="H651" s="406">
        <f t="shared" si="8"/>
        <v>95450</v>
      </c>
      <c r="I651" s="433" t="s">
        <v>131</v>
      </c>
      <c r="J651" s="356" t="s">
        <v>669</v>
      </c>
      <c r="K651" s="176"/>
    </row>
    <row r="652" spans="1:11" ht="15.6">
      <c r="A652" s="430">
        <v>46094</v>
      </c>
      <c r="B652" s="431" t="s">
        <v>1027</v>
      </c>
      <c r="C652" s="431" t="s">
        <v>539</v>
      </c>
      <c r="D652" s="431" t="s">
        <v>259</v>
      </c>
      <c r="E652" s="357"/>
      <c r="F652" s="357">
        <v>500</v>
      </c>
      <c r="G652" s="406"/>
      <c r="H652" s="406">
        <f t="shared" si="8"/>
        <v>94950</v>
      </c>
      <c r="I652" s="431" t="s">
        <v>131</v>
      </c>
      <c r="J652" s="357" t="s">
        <v>653</v>
      </c>
      <c r="K652" s="176"/>
    </row>
    <row r="653" spans="1:11" ht="15.6">
      <c r="A653" s="432">
        <v>46094</v>
      </c>
      <c r="B653" s="433" t="s">
        <v>1028</v>
      </c>
      <c r="C653" s="433" t="s">
        <v>402</v>
      </c>
      <c r="D653" s="433" t="s">
        <v>259</v>
      </c>
      <c r="E653" s="356"/>
      <c r="F653" s="356">
        <v>9000</v>
      </c>
      <c r="G653" s="406"/>
      <c r="H653" s="406">
        <f t="shared" si="8"/>
        <v>85950</v>
      </c>
      <c r="I653" s="433" t="s">
        <v>131</v>
      </c>
      <c r="J653" s="356" t="s">
        <v>670</v>
      </c>
      <c r="K653" s="176"/>
    </row>
    <row r="654" spans="1:11" ht="15.6">
      <c r="A654" s="430">
        <v>46094</v>
      </c>
      <c r="B654" s="431" t="s">
        <v>1027</v>
      </c>
      <c r="C654" s="431" t="s">
        <v>539</v>
      </c>
      <c r="D654" s="431" t="s">
        <v>259</v>
      </c>
      <c r="E654" s="357"/>
      <c r="F654" s="357">
        <v>500</v>
      </c>
      <c r="G654" s="406"/>
      <c r="H654" s="406">
        <f t="shared" si="8"/>
        <v>85450</v>
      </c>
      <c r="I654" s="431" t="s">
        <v>131</v>
      </c>
      <c r="J654" s="357" t="s">
        <v>653</v>
      </c>
      <c r="K654" s="176"/>
    </row>
    <row r="655" spans="1:11" ht="15.6">
      <c r="A655" s="430">
        <v>46095</v>
      </c>
      <c r="B655" s="431" t="s">
        <v>1027</v>
      </c>
      <c r="C655" s="431" t="s">
        <v>539</v>
      </c>
      <c r="D655" s="431" t="s">
        <v>259</v>
      </c>
      <c r="E655" s="357"/>
      <c r="F655" s="357">
        <v>500</v>
      </c>
      <c r="G655" s="406"/>
      <c r="H655" s="406">
        <f t="shared" si="8"/>
        <v>84950</v>
      </c>
      <c r="I655" s="431" t="s">
        <v>131</v>
      </c>
      <c r="J655" s="357" t="s">
        <v>653</v>
      </c>
      <c r="K655" s="176"/>
    </row>
    <row r="656" spans="1:11" ht="15.6">
      <c r="A656" s="430">
        <v>46095</v>
      </c>
      <c r="B656" s="431" t="s">
        <v>1057</v>
      </c>
      <c r="C656" s="431" t="s">
        <v>647</v>
      </c>
      <c r="D656" s="431" t="s">
        <v>259</v>
      </c>
      <c r="E656" s="357"/>
      <c r="F656" s="357">
        <v>1600</v>
      </c>
      <c r="G656" s="406"/>
      <c r="H656" s="406">
        <f t="shared" si="8"/>
        <v>83350</v>
      </c>
      <c r="I656" s="431" t="s">
        <v>131</v>
      </c>
      <c r="J656" s="357" t="s">
        <v>658</v>
      </c>
      <c r="K656" s="176"/>
    </row>
    <row r="657" spans="1:11" ht="15.6">
      <c r="A657" s="430">
        <v>46095</v>
      </c>
      <c r="B657" s="431" t="s">
        <v>1027</v>
      </c>
      <c r="C657" s="431" t="s">
        <v>539</v>
      </c>
      <c r="D657" s="431" t="s">
        <v>259</v>
      </c>
      <c r="E657" s="357"/>
      <c r="F657" s="357">
        <v>500</v>
      </c>
      <c r="G657" s="406"/>
      <c r="H657" s="406">
        <f t="shared" si="8"/>
        <v>82850</v>
      </c>
      <c r="I657" s="431" t="s">
        <v>131</v>
      </c>
      <c r="J657" s="357" t="s">
        <v>653</v>
      </c>
      <c r="K657" s="176"/>
    </row>
    <row r="658" spans="1:11" ht="15.6">
      <c r="A658" s="430">
        <v>46095</v>
      </c>
      <c r="B658" s="431" t="s">
        <v>1027</v>
      </c>
      <c r="C658" s="431" t="s">
        <v>539</v>
      </c>
      <c r="D658" s="431" t="s">
        <v>259</v>
      </c>
      <c r="E658" s="357"/>
      <c r="F658" s="357">
        <v>500</v>
      </c>
      <c r="G658" s="406"/>
      <c r="H658" s="406">
        <f t="shared" si="8"/>
        <v>82350</v>
      </c>
      <c r="I658" s="431" t="s">
        <v>131</v>
      </c>
      <c r="J658" s="357" t="s">
        <v>653</v>
      </c>
      <c r="K658" s="176"/>
    </row>
    <row r="659" spans="1:11" ht="15.6">
      <c r="A659" s="430">
        <v>46095</v>
      </c>
      <c r="B659" s="431" t="s">
        <v>1057</v>
      </c>
      <c r="C659" s="431" t="s">
        <v>647</v>
      </c>
      <c r="D659" s="431" t="s">
        <v>259</v>
      </c>
      <c r="E659" s="357"/>
      <c r="F659" s="357">
        <v>2000</v>
      </c>
      <c r="G659" s="406"/>
      <c r="H659" s="406">
        <f t="shared" si="8"/>
        <v>80350</v>
      </c>
      <c r="I659" s="431" t="s">
        <v>131</v>
      </c>
      <c r="J659" s="357" t="s">
        <v>658</v>
      </c>
      <c r="K659" s="176"/>
    </row>
    <row r="660" spans="1:11" ht="15.6">
      <c r="A660" s="430">
        <v>46095</v>
      </c>
      <c r="B660" s="431" t="s">
        <v>1027</v>
      </c>
      <c r="C660" s="431" t="s">
        <v>539</v>
      </c>
      <c r="D660" s="431" t="s">
        <v>259</v>
      </c>
      <c r="E660" s="357"/>
      <c r="F660" s="357">
        <v>500</v>
      </c>
      <c r="G660" s="406"/>
      <c r="H660" s="406">
        <f t="shared" si="8"/>
        <v>79850</v>
      </c>
      <c r="I660" s="431" t="s">
        <v>131</v>
      </c>
      <c r="J660" s="357" t="s">
        <v>653</v>
      </c>
      <c r="K660" s="176"/>
    </row>
    <row r="661" spans="1:11" ht="15.6">
      <c r="A661" s="430">
        <v>46096</v>
      </c>
      <c r="B661" s="431" t="s">
        <v>1027</v>
      </c>
      <c r="C661" s="431" t="s">
        <v>539</v>
      </c>
      <c r="D661" s="431" t="s">
        <v>259</v>
      </c>
      <c r="E661" s="357"/>
      <c r="F661" s="357">
        <v>500</v>
      </c>
      <c r="G661" s="406"/>
      <c r="H661" s="406">
        <f t="shared" si="8"/>
        <v>79350</v>
      </c>
      <c r="I661" s="431" t="s">
        <v>131</v>
      </c>
      <c r="J661" s="357" t="s">
        <v>653</v>
      </c>
      <c r="K661" s="176"/>
    </row>
    <row r="662" spans="1:11" ht="15.6">
      <c r="A662" s="430">
        <v>46096</v>
      </c>
      <c r="B662" s="431" t="s">
        <v>1031</v>
      </c>
      <c r="C662" s="431" t="s">
        <v>539</v>
      </c>
      <c r="D662" s="431" t="s">
        <v>259</v>
      </c>
      <c r="E662" s="357"/>
      <c r="F662" s="357">
        <v>500</v>
      </c>
      <c r="G662" s="406"/>
      <c r="H662" s="406">
        <f t="shared" si="8"/>
        <v>78850</v>
      </c>
      <c r="I662" s="431" t="s">
        <v>131</v>
      </c>
      <c r="J662" s="357" t="s">
        <v>653</v>
      </c>
      <c r="K662" s="176"/>
    </row>
    <row r="663" spans="1:11" ht="15.6">
      <c r="A663" s="430">
        <v>46096</v>
      </c>
      <c r="B663" s="431" t="s">
        <v>1056</v>
      </c>
      <c r="C663" s="431" t="s">
        <v>647</v>
      </c>
      <c r="D663" s="431" t="s">
        <v>259</v>
      </c>
      <c r="E663" s="357"/>
      <c r="F663" s="357">
        <v>2000</v>
      </c>
      <c r="G663" s="406"/>
      <c r="H663" s="406">
        <f t="shared" si="8"/>
        <v>76850</v>
      </c>
      <c r="I663" s="431" t="s">
        <v>131</v>
      </c>
      <c r="J663" s="357" t="s">
        <v>658</v>
      </c>
      <c r="K663" s="176"/>
    </row>
    <row r="664" spans="1:11" ht="15.6">
      <c r="A664" s="430">
        <v>46096</v>
      </c>
      <c r="B664" s="431" t="s">
        <v>1027</v>
      </c>
      <c r="C664" s="431" t="s">
        <v>539</v>
      </c>
      <c r="D664" s="431" t="s">
        <v>259</v>
      </c>
      <c r="E664" s="357"/>
      <c r="F664" s="357">
        <v>500</v>
      </c>
      <c r="G664" s="406"/>
      <c r="H664" s="406">
        <f t="shared" si="8"/>
        <v>76350</v>
      </c>
      <c r="I664" s="431" t="s">
        <v>131</v>
      </c>
      <c r="J664" s="357" t="s">
        <v>653</v>
      </c>
      <c r="K664" s="176"/>
    </row>
    <row r="665" spans="1:11" ht="15.6">
      <c r="A665" s="430">
        <v>46096</v>
      </c>
      <c r="B665" s="431" t="s">
        <v>1027</v>
      </c>
      <c r="C665" s="431" t="s">
        <v>539</v>
      </c>
      <c r="D665" s="431" t="s">
        <v>259</v>
      </c>
      <c r="E665" s="357"/>
      <c r="F665" s="357">
        <v>500</v>
      </c>
      <c r="G665" s="406"/>
      <c r="H665" s="406">
        <f t="shared" si="8"/>
        <v>75850</v>
      </c>
      <c r="I665" s="431" t="s">
        <v>131</v>
      </c>
      <c r="J665" s="357" t="s">
        <v>653</v>
      </c>
      <c r="K665" s="176"/>
    </row>
    <row r="666" spans="1:11" ht="15.6">
      <c r="A666" s="432">
        <v>46097</v>
      </c>
      <c r="B666" s="433" t="s">
        <v>1055</v>
      </c>
      <c r="C666" s="433" t="s">
        <v>542</v>
      </c>
      <c r="D666" s="433" t="s">
        <v>259</v>
      </c>
      <c r="E666" s="356"/>
      <c r="F666" s="356">
        <v>30000</v>
      </c>
      <c r="G666" s="406"/>
      <c r="H666" s="406">
        <f t="shared" si="8"/>
        <v>45850</v>
      </c>
      <c r="I666" s="433" t="s">
        <v>131</v>
      </c>
      <c r="J666" s="356" t="s">
        <v>671</v>
      </c>
      <c r="K666" s="176"/>
    </row>
    <row r="667" spans="1:11" ht="15.6">
      <c r="A667" s="430">
        <v>46097</v>
      </c>
      <c r="B667" s="431" t="s">
        <v>1027</v>
      </c>
      <c r="C667" s="431" t="s">
        <v>539</v>
      </c>
      <c r="D667" s="431" t="s">
        <v>259</v>
      </c>
      <c r="E667" s="357"/>
      <c r="F667" s="357">
        <v>500</v>
      </c>
      <c r="G667" s="406"/>
      <c r="H667" s="406">
        <f t="shared" si="8"/>
        <v>45350</v>
      </c>
      <c r="I667" s="431" t="s">
        <v>131</v>
      </c>
      <c r="J667" s="357" t="s">
        <v>653</v>
      </c>
      <c r="K667" s="176"/>
    </row>
    <row r="668" spans="1:11" ht="15.6">
      <c r="A668" s="432">
        <v>46097</v>
      </c>
      <c r="B668" s="433" t="s">
        <v>1043</v>
      </c>
      <c r="C668" s="433" t="s">
        <v>402</v>
      </c>
      <c r="D668" s="433" t="s">
        <v>259</v>
      </c>
      <c r="E668" s="356"/>
      <c r="F668" s="356">
        <v>9000</v>
      </c>
      <c r="G668" s="406"/>
      <c r="H668" s="406">
        <f t="shared" si="8"/>
        <v>36350</v>
      </c>
      <c r="I668" s="433" t="s">
        <v>131</v>
      </c>
      <c r="J668" s="356" t="s">
        <v>672</v>
      </c>
      <c r="K668" s="176"/>
    </row>
    <row r="669" spans="1:11" ht="15.6">
      <c r="A669" s="432">
        <v>46097</v>
      </c>
      <c r="B669" s="433" t="s">
        <v>1028</v>
      </c>
      <c r="C669" s="433" t="s">
        <v>402</v>
      </c>
      <c r="D669" s="433" t="s">
        <v>259</v>
      </c>
      <c r="E669" s="356"/>
      <c r="F669" s="356">
        <v>4000</v>
      </c>
      <c r="G669" s="406"/>
      <c r="H669" s="406">
        <f t="shared" si="8"/>
        <v>32350</v>
      </c>
      <c r="I669" s="433" t="s">
        <v>131</v>
      </c>
      <c r="J669" s="356" t="s">
        <v>673</v>
      </c>
      <c r="K669" s="176"/>
    </row>
    <row r="670" spans="1:11" ht="15.6">
      <c r="A670" s="430">
        <v>46097</v>
      </c>
      <c r="B670" s="431" t="s">
        <v>1027</v>
      </c>
      <c r="C670" s="431" t="s">
        <v>539</v>
      </c>
      <c r="D670" s="431" t="s">
        <v>259</v>
      </c>
      <c r="E670" s="357"/>
      <c r="F670" s="357">
        <v>1000</v>
      </c>
      <c r="G670" s="406"/>
      <c r="H670" s="406">
        <f t="shared" si="8"/>
        <v>31350</v>
      </c>
      <c r="I670" s="431" t="s">
        <v>131</v>
      </c>
      <c r="J670" s="357" t="s">
        <v>653</v>
      </c>
      <c r="K670" s="176"/>
    </row>
    <row r="671" spans="1:11" ht="15.6">
      <c r="A671" s="430">
        <v>46097</v>
      </c>
      <c r="B671" s="431" t="s">
        <v>1027</v>
      </c>
      <c r="C671" s="431" t="s">
        <v>539</v>
      </c>
      <c r="D671" s="431" t="s">
        <v>259</v>
      </c>
      <c r="E671" s="357"/>
      <c r="F671" s="357">
        <v>500</v>
      </c>
      <c r="G671" s="406"/>
      <c r="H671" s="406">
        <f t="shared" si="8"/>
        <v>30850</v>
      </c>
      <c r="I671" s="431" t="s">
        <v>131</v>
      </c>
      <c r="J671" s="357" t="s">
        <v>653</v>
      </c>
      <c r="K671" s="176"/>
    </row>
    <row r="672" spans="1:11" ht="15.6">
      <c r="A672" s="430">
        <v>46097</v>
      </c>
      <c r="B672" s="431" t="s">
        <v>1027</v>
      </c>
      <c r="C672" s="431" t="s">
        <v>539</v>
      </c>
      <c r="D672" s="431" t="s">
        <v>259</v>
      </c>
      <c r="E672" s="357"/>
      <c r="F672" s="357">
        <v>500</v>
      </c>
      <c r="G672" s="406"/>
      <c r="H672" s="406">
        <f t="shared" si="8"/>
        <v>30350</v>
      </c>
      <c r="I672" s="431" t="s">
        <v>131</v>
      </c>
      <c r="J672" s="357" t="s">
        <v>653</v>
      </c>
      <c r="K672" s="176"/>
    </row>
    <row r="673" spans="1:11" ht="15.6">
      <c r="A673" s="432">
        <v>46098</v>
      </c>
      <c r="B673" s="433" t="s">
        <v>1055</v>
      </c>
      <c r="C673" s="433" t="s">
        <v>542</v>
      </c>
      <c r="D673" s="433" t="s">
        <v>259</v>
      </c>
      <c r="E673" s="356"/>
      <c r="F673" s="356">
        <v>10000</v>
      </c>
      <c r="G673" s="406"/>
      <c r="H673" s="406">
        <f t="shared" si="8"/>
        <v>20350</v>
      </c>
      <c r="I673" s="433" t="s">
        <v>131</v>
      </c>
      <c r="J673" s="356" t="s">
        <v>674</v>
      </c>
      <c r="K673" s="176"/>
    </row>
    <row r="674" spans="1:11" ht="15.6">
      <c r="A674" s="430">
        <v>46098</v>
      </c>
      <c r="B674" s="431" t="s">
        <v>1027</v>
      </c>
      <c r="C674" s="431" t="s">
        <v>539</v>
      </c>
      <c r="D674" s="431" t="s">
        <v>259</v>
      </c>
      <c r="E674" s="357"/>
      <c r="F674" s="357">
        <v>1000</v>
      </c>
      <c r="G674" s="406"/>
      <c r="H674" s="406">
        <f t="shared" si="8"/>
        <v>19350</v>
      </c>
      <c r="I674" s="431" t="s">
        <v>131</v>
      </c>
      <c r="J674" s="357" t="s">
        <v>653</v>
      </c>
      <c r="K674" s="176"/>
    </row>
    <row r="675" spans="1:11" ht="15.6">
      <c r="A675" s="432">
        <v>46098</v>
      </c>
      <c r="B675" s="433" t="s">
        <v>1028</v>
      </c>
      <c r="C675" s="433" t="s">
        <v>402</v>
      </c>
      <c r="D675" s="433" t="s">
        <v>259</v>
      </c>
      <c r="E675" s="356"/>
      <c r="F675" s="356">
        <v>7000</v>
      </c>
      <c r="G675" s="406"/>
      <c r="H675" s="406">
        <f t="shared" si="8"/>
        <v>12350</v>
      </c>
      <c r="I675" s="433" t="s">
        <v>131</v>
      </c>
      <c r="J675" s="356" t="s">
        <v>675</v>
      </c>
      <c r="K675" s="176"/>
    </row>
    <row r="676" spans="1:11" ht="15.6">
      <c r="A676" s="430">
        <v>46098</v>
      </c>
      <c r="B676" s="431" t="s">
        <v>1025</v>
      </c>
      <c r="C676" s="431" t="s">
        <v>539</v>
      </c>
      <c r="D676" s="431" t="s">
        <v>259</v>
      </c>
      <c r="E676" s="357"/>
      <c r="F676" s="357">
        <v>2500</v>
      </c>
      <c r="G676" s="406"/>
      <c r="H676" s="406">
        <f t="shared" si="8"/>
        <v>9850</v>
      </c>
      <c r="I676" s="431" t="s">
        <v>131</v>
      </c>
      <c r="J676" s="357" t="s">
        <v>653</v>
      </c>
      <c r="K676" s="176"/>
    </row>
    <row r="677" spans="1:11" ht="15.6">
      <c r="A677" s="430">
        <v>46099</v>
      </c>
      <c r="B677" s="431" t="s">
        <v>1025</v>
      </c>
      <c r="C677" s="431" t="s">
        <v>539</v>
      </c>
      <c r="D677" s="431" t="s">
        <v>259</v>
      </c>
      <c r="E677" s="357"/>
      <c r="F677" s="357">
        <v>1000</v>
      </c>
      <c r="G677" s="406"/>
      <c r="H677" s="406">
        <f t="shared" si="8"/>
        <v>8850</v>
      </c>
      <c r="I677" s="431" t="s">
        <v>131</v>
      </c>
      <c r="J677" s="357" t="s">
        <v>653</v>
      </c>
      <c r="K677" s="176"/>
    </row>
    <row r="678" spans="1:11" ht="15.6">
      <c r="A678" s="430">
        <v>46099</v>
      </c>
      <c r="B678" s="431" t="s">
        <v>1025</v>
      </c>
      <c r="C678" s="431" t="s">
        <v>539</v>
      </c>
      <c r="D678" s="431" t="s">
        <v>259</v>
      </c>
      <c r="E678" s="357"/>
      <c r="F678" s="357">
        <v>1000</v>
      </c>
      <c r="G678" s="406"/>
      <c r="H678" s="406">
        <f t="shared" si="8"/>
        <v>7850</v>
      </c>
      <c r="I678" s="431" t="s">
        <v>131</v>
      </c>
      <c r="J678" s="357" t="s">
        <v>653</v>
      </c>
      <c r="K678" s="176"/>
    </row>
    <row r="679" spans="1:11" ht="15.6">
      <c r="A679" s="432">
        <v>46099</v>
      </c>
      <c r="B679" s="433" t="s">
        <v>649</v>
      </c>
      <c r="C679" s="433" t="s">
        <v>110</v>
      </c>
      <c r="D679" s="433" t="s">
        <v>259</v>
      </c>
      <c r="E679" s="356">
        <v>7500</v>
      </c>
      <c r="F679" s="356"/>
      <c r="G679" s="406"/>
      <c r="H679" s="406">
        <f t="shared" si="8"/>
        <v>15350</v>
      </c>
      <c r="I679" s="433" t="s">
        <v>131</v>
      </c>
      <c r="J679" s="356" t="s">
        <v>676</v>
      </c>
      <c r="K679" s="176"/>
    </row>
    <row r="680" spans="1:11" ht="15.6">
      <c r="A680" s="432">
        <v>46099</v>
      </c>
      <c r="B680" s="433" t="s">
        <v>649</v>
      </c>
      <c r="C680" s="433" t="s">
        <v>110</v>
      </c>
      <c r="D680" s="433" t="s">
        <v>259</v>
      </c>
      <c r="E680" s="356"/>
      <c r="F680" s="356">
        <v>7500</v>
      </c>
      <c r="G680" s="406"/>
      <c r="H680" s="406">
        <f t="shared" si="8"/>
        <v>7850</v>
      </c>
      <c r="I680" s="433" t="s">
        <v>131</v>
      </c>
      <c r="J680" s="356" t="s">
        <v>676</v>
      </c>
      <c r="K680" s="176"/>
    </row>
    <row r="681" spans="1:11" ht="15.6">
      <c r="A681" s="430">
        <v>46101</v>
      </c>
      <c r="B681" s="431" t="s">
        <v>645</v>
      </c>
      <c r="C681" s="431" t="s">
        <v>102</v>
      </c>
      <c r="D681" s="431" t="s">
        <v>259</v>
      </c>
      <c r="E681" s="357">
        <v>75000</v>
      </c>
      <c r="F681" s="357"/>
      <c r="G681" s="406"/>
      <c r="H681" s="406">
        <f t="shared" si="8"/>
        <v>82850</v>
      </c>
      <c r="I681" s="431" t="s">
        <v>131</v>
      </c>
      <c r="J681" s="357" t="s">
        <v>677</v>
      </c>
      <c r="K681" s="176"/>
    </row>
    <row r="682" spans="1:11" ht="15.6">
      <c r="A682" s="430">
        <v>46101</v>
      </c>
      <c r="B682" s="431" t="s">
        <v>1025</v>
      </c>
      <c r="C682" s="431" t="s">
        <v>539</v>
      </c>
      <c r="D682" s="431" t="s">
        <v>259</v>
      </c>
      <c r="E682" s="357"/>
      <c r="F682" s="357">
        <v>1000</v>
      </c>
      <c r="G682" s="406"/>
      <c r="H682" s="406">
        <f t="shared" si="8"/>
        <v>81850</v>
      </c>
      <c r="I682" s="431" t="s">
        <v>131</v>
      </c>
      <c r="J682" s="357" t="s">
        <v>653</v>
      </c>
      <c r="K682" s="176"/>
    </row>
    <row r="683" spans="1:11" ht="15.6">
      <c r="A683" s="432">
        <v>46101</v>
      </c>
      <c r="B683" s="433" t="s">
        <v>1028</v>
      </c>
      <c r="C683" s="433" t="s">
        <v>402</v>
      </c>
      <c r="D683" s="433" t="s">
        <v>259</v>
      </c>
      <c r="E683" s="356"/>
      <c r="F683" s="356">
        <v>9000</v>
      </c>
      <c r="G683" s="406"/>
      <c r="H683" s="406">
        <f t="shared" si="8"/>
        <v>72850</v>
      </c>
      <c r="I683" s="433" t="s">
        <v>131</v>
      </c>
      <c r="J683" s="356" t="s">
        <v>678</v>
      </c>
      <c r="K683" s="176"/>
    </row>
    <row r="684" spans="1:11" ht="15.6">
      <c r="A684" s="430">
        <v>46101</v>
      </c>
      <c r="B684" s="431" t="s">
        <v>1029</v>
      </c>
      <c r="C684" s="431" t="s">
        <v>539</v>
      </c>
      <c r="D684" s="431" t="s">
        <v>259</v>
      </c>
      <c r="E684" s="357"/>
      <c r="F684" s="357">
        <v>2500</v>
      </c>
      <c r="G684" s="406"/>
      <c r="H684" s="406">
        <f t="shared" si="8"/>
        <v>70350</v>
      </c>
      <c r="I684" s="431" t="s">
        <v>131</v>
      </c>
      <c r="J684" s="357" t="s">
        <v>653</v>
      </c>
      <c r="K684" s="176"/>
    </row>
    <row r="685" spans="1:11" ht="15.6">
      <c r="A685" s="430">
        <v>46102</v>
      </c>
      <c r="B685" s="431" t="s">
        <v>1030</v>
      </c>
      <c r="C685" s="431" t="s">
        <v>542</v>
      </c>
      <c r="D685" s="431" t="s">
        <v>259</v>
      </c>
      <c r="E685" s="357"/>
      <c r="F685" s="357">
        <v>70000</v>
      </c>
      <c r="G685" s="406"/>
      <c r="H685" s="406">
        <f t="shared" si="8"/>
        <v>350</v>
      </c>
      <c r="I685" s="431" t="s">
        <v>131</v>
      </c>
      <c r="J685" s="357" t="s">
        <v>679</v>
      </c>
      <c r="K685" s="176"/>
    </row>
    <row r="686" spans="1:11" ht="15.6">
      <c r="A686" s="430">
        <v>46102</v>
      </c>
      <c r="B686" s="431" t="s">
        <v>1025</v>
      </c>
      <c r="C686" s="431" t="s">
        <v>539</v>
      </c>
      <c r="D686" s="431" t="s">
        <v>259</v>
      </c>
      <c r="E686" s="357"/>
      <c r="F686" s="357">
        <v>2500</v>
      </c>
      <c r="G686" s="406"/>
      <c r="H686" s="406">
        <f t="shared" si="8"/>
        <v>-2150</v>
      </c>
      <c r="I686" s="431" t="s">
        <v>131</v>
      </c>
      <c r="J686" s="357" t="s">
        <v>653</v>
      </c>
      <c r="K686" s="176"/>
    </row>
    <row r="687" spans="1:11" ht="15.6">
      <c r="A687" s="430">
        <v>46102</v>
      </c>
      <c r="B687" s="431" t="s">
        <v>1031</v>
      </c>
      <c r="C687" s="431" t="s">
        <v>539</v>
      </c>
      <c r="D687" s="431" t="s">
        <v>259</v>
      </c>
      <c r="E687" s="357"/>
      <c r="F687" s="357">
        <v>500</v>
      </c>
      <c r="G687" s="406"/>
      <c r="H687" s="406">
        <f t="shared" si="8"/>
        <v>-2650</v>
      </c>
      <c r="I687" s="431" t="s">
        <v>131</v>
      </c>
      <c r="J687" s="357" t="s">
        <v>653</v>
      </c>
      <c r="K687" s="176"/>
    </row>
    <row r="688" spans="1:11" ht="15.6">
      <c r="A688" s="430">
        <v>46103</v>
      </c>
      <c r="B688" s="431" t="s">
        <v>1027</v>
      </c>
      <c r="C688" s="431" t="s">
        <v>539</v>
      </c>
      <c r="D688" s="431" t="s">
        <v>259</v>
      </c>
      <c r="E688" s="357"/>
      <c r="F688" s="357">
        <v>500</v>
      </c>
      <c r="G688" s="406"/>
      <c r="H688" s="406">
        <f t="shared" si="8"/>
        <v>-3150</v>
      </c>
      <c r="I688" s="431" t="s">
        <v>131</v>
      </c>
      <c r="J688" s="357" t="s">
        <v>653</v>
      </c>
      <c r="K688" s="176"/>
    </row>
    <row r="689" spans="1:11" ht="15.6">
      <c r="A689" s="430">
        <v>46103</v>
      </c>
      <c r="B689" s="431" t="s">
        <v>1027</v>
      </c>
      <c r="C689" s="431" t="s">
        <v>539</v>
      </c>
      <c r="D689" s="431" t="s">
        <v>259</v>
      </c>
      <c r="E689" s="357"/>
      <c r="F689" s="357">
        <v>500</v>
      </c>
      <c r="G689" s="406"/>
      <c r="H689" s="406">
        <f t="shared" si="8"/>
        <v>-3650</v>
      </c>
      <c r="I689" s="431" t="s">
        <v>131</v>
      </c>
      <c r="J689" s="357" t="s">
        <v>653</v>
      </c>
      <c r="K689" s="176"/>
    </row>
    <row r="690" spans="1:11" ht="15.6">
      <c r="A690" s="432">
        <v>46104</v>
      </c>
      <c r="B690" s="433" t="s">
        <v>1055</v>
      </c>
      <c r="C690" s="433" t="s">
        <v>542</v>
      </c>
      <c r="D690" s="433" t="s">
        <v>259</v>
      </c>
      <c r="E690" s="356"/>
      <c r="F690" s="356">
        <v>20000</v>
      </c>
      <c r="G690" s="406"/>
      <c r="H690" s="406">
        <f t="shared" si="8"/>
        <v>-23650</v>
      </c>
      <c r="I690" s="433" t="s">
        <v>131</v>
      </c>
      <c r="J690" s="356" t="s">
        <v>680</v>
      </c>
      <c r="K690" s="176"/>
    </row>
    <row r="691" spans="1:11" ht="15.6">
      <c r="A691" s="430">
        <v>46104</v>
      </c>
      <c r="B691" s="431" t="s">
        <v>1027</v>
      </c>
      <c r="C691" s="431" t="s">
        <v>539</v>
      </c>
      <c r="D691" s="431" t="s">
        <v>259</v>
      </c>
      <c r="E691" s="357"/>
      <c r="F691" s="357">
        <v>500</v>
      </c>
      <c r="G691" s="406"/>
      <c r="H691" s="406">
        <f t="shared" si="8"/>
        <v>-24150</v>
      </c>
      <c r="I691" s="431" t="s">
        <v>131</v>
      </c>
      <c r="J691" s="357" t="s">
        <v>653</v>
      </c>
      <c r="K691" s="176"/>
    </row>
    <row r="692" spans="1:11" ht="15.6">
      <c r="A692" s="432">
        <v>46104</v>
      </c>
      <c r="B692" s="433" t="s">
        <v>1043</v>
      </c>
      <c r="C692" s="433" t="s">
        <v>402</v>
      </c>
      <c r="D692" s="433" t="s">
        <v>259</v>
      </c>
      <c r="E692" s="356"/>
      <c r="F692" s="356">
        <v>9000</v>
      </c>
      <c r="G692" s="406"/>
      <c r="H692" s="406">
        <f t="shared" si="8"/>
        <v>-33150</v>
      </c>
      <c r="I692" s="433" t="s">
        <v>131</v>
      </c>
      <c r="J692" s="356" t="s">
        <v>681</v>
      </c>
      <c r="K692" s="176"/>
    </row>
    <row r="693" spans="1:11" ht="15.6">
      <c r="A693" s="430">
        <v>46104</v>
      </c>
      <c r="B693" s="431" t="s">
        <v>1031</v>
      </c>
      <c r="C693" s="431" t="s">
        <v>539</v>
      </c>
      <c r="D693" s="431" t="s">
        <v>259</v>
      </c>
      <c r="E693" s="357"/>
      <c r="F693" s="357">
        <v>500</v>
      </c>
      <c r="G693" s="406"/>
      <c r="H693" s="406">
        <f t="shared" si="8"/>
        <v>-33650</v>
      </c>
      <c r="I693" s="431" t="s">
        <v>131</v>
      </c>
      <c r="J693" s="357" t="s">
        <v>653</v>
      </c>
      <c r="K693" s="176"/>
    </row>
    <row r="694" spans="1:11" ht="15.6">
      <c r="A694" s="430">
        <v>46104</v>
      </c>
      <c r="B694" s="431" t="s">
        <v>1031</v>
      </c>
      <c r="C694" s="431" t="s">
        <v>539</v>
      </c>
      <c r="D694" s="431" t="s">
        <v>259</v>
      </c>
      <c r="E694" s="357"/>
      <c r="F694" s="357">
        <v>500</v>
      </c>
      <c r="G694" s="406"/>
      <c r="H694" s="406">
        <f t="shared" si="8"/>
        <v>-34150</v>
      </c>
      <c r="I694" s="431" t="s">
        <v>131</v>
      </c>
      <c r="J694" s="357" t="s">
        <v>653</v>
      </c>
      <c r="K694" s="176"/>
    </row>
    <row r="695" spans="1:11" ht="15.6">
      <c r="A695" s="430">
        <v>46104</v>
      </c>
      <c r="B695" s="431" t="s">
        <v>1031</v>
      </c>
      <c r="C695" s="431" t="s">
        <v>539</v>
      </c>
      <c r="D695" s="431" t="s">
        <v>259</v>
      </c>
      <c r="E695" s="357"/>
      <c r="F695" s="357">
        <v>500</v>
      </c>
      <c r="G695" s="406"/>
      <c r="H695" s="406">
        <f t="shared" si="8"/>
        <v>-34650</v>
      </c>
      <c r="I695" s="431" t="s">
        <v>131</v>
      </c>
      <c r="J695" s="357" t="s">
        <v>653</v>
      </c>
      <c r="K695" s="176"/>
    </row>
    <row r="696" spans="1:11" ht="15.6">
      <c r="A696" s="430">
        <v>46104</v>
      </c>
      <c r="B696" s="431" t="s">
        <v>1027</v>
      </c>
      <c r="C696" s="431" t="s">
        <v>539</v>
      </c>
      <c r="D696" s="431" t="s">
        <v>259</v>
      </c>
      <c r="E696" s="357"/>
      <c r="F696" s="357">
        <v>500</v>
      </c>
      <c r="G696" s="406"/>
      <c r="H696" s="406">
        <f t="shared" si="8"/>
        <v>-35150</v>
      </c>
      <c r="I696" s="431" t="s">
        <v>131</v>
      </c>
      <c r="J696" s="357" t="s">
        <v>653</v>
      </c>
      <c r="K696" s="176"/>
    </row>
    <row r="697" spans="1:11" ht="15.6">
      <c r="A697" s="430">
        <v>46104</v>
      </c>
      <c r="B697" s="431" t="s">
        <v>1071</v>
      </c>
      <c r="C697" s="431" t="s">
        <v>647</v>
      </c>
      <c r="D697" s="431" t="s">
        <v>259</v>
      </c>
      <c r="E697" s="357"/>
      <c r="F697" s="357">
        <v>3400</v>
      </c>
      <c r="G697" s="406"/>
      <c r="H697" s="406">
        <f t="shared" si="8"/>
        <v>-38550</v>
      </c>
      <c r="I697" s="431" t="s">
        <v>131</v>
      </c>
      <c r="J697" s="357" t="s">
        <v>658</v>
      </c>
      <c r="K697" s="176"/>
    </row>
    <row r="698" spans="1:11" ht="15.6">
      <c r="A698" s="430">
        <v>46104</v>
      </c>
      <c r="B698" s="431" t="s">
        <v>1027</v>
      </c>
      <c r="C698" s="431" t="s">
        <v>539</v>
      </c>
      <c r="D698" s="431" t="s">
        <v>259</v>
      </c>
      <c r="E698" s="357"/>
      <c r="F698" s="357">
        <v>500</v>
      </c>
      <c r="G698" s="406"/>
      <c r="H698" s="406">
        <f t="shared" si="8"/>
        <v>-39050</v>
      </c>
      <c r="I698" s="431" t="s">
        <v>131</v>
      </c>
      <c r="J698" s="357" t="s">
        <v>653</v>
      </c>
      <c r="K698" s="176"/>
    </row>
    <row r="699" spans="1:11" ht="15.6">
      <c r="A699" s="430">
        <v>46104</v>
      </c>
      <c r="B699" s="431" t="s">
        <v>1027</v>
      </c>
      <c r="C699" s="431" t="s">
        <v>539</v>
      </c>
      <c r="D699" s="431" t="s">
        <v>259</v>
      </c>
      <c r="E699" s="357"/>
      <c r="F699" s="357">
        <v>500</v>
      </c>
      <c r="G699" s="406"/>
      <c r="H699" s="406">
        <f t="shared" si="8"/>
        <v>-39550</v>
      </c>
      <c r="I699" s="431" t="s">
        <v>131</v>
      </c>
      <c r="J699" s="357" t="s">
        <v>653</v>
      </c>
      <c r="K699" s="176"/>
    </row>
    <row r="700" spans="1:11" ht="15.6">
      <c r="A700" s="430">
        <v>46105</v>
      </c>
      <c r="B700" s="431" t="s">
        <v>1027</v>
      </c>
      <c r="C700" s="431" t="s">
        <v>539</v>
      </c>
      <c r="D700" s="431" t="s">
        <v>259</v>
      </c>
      <c r="E700" s="357"/>
      <c r="F700" s="357">
        <v>500</v>
      </c>
      <c r="G700" s="406"/>
      <c r="H700" s="406">
        <f t="shared" si="8"/>
        <v>-40050</v>
      </c>
      <c r="I700" s="431" t="s">
        <v>131</v>
      </c>
      <c r="J700" s="357" t="s">
        <v>653</v>
      </c>
      <c r="K700" s="176"/>
    </row>
    <row r="701" spans="1:11" ht="15.6">
      <c r="A701" s="430">
        <v>46105</v>
      </c>
      <c r="B701" s="431" t="s">
        <v>1027</v>
      </c>
      <c r="C701" s="431" t="s">
        <v>539</v>
      </c>
      <c r="D701" s="431" t="s">
        <v>259</v>
      </c>
      <c r="E701" s="357"/>
      <c r="F701" s="357">
        <v>3500</v>
      </c>
      <c r="G701" s="406"/>
      <c r="H701" s="406">
        <f t="shared" si="8"/>
        <v>-43550</v>
      </c>
      <c r="I701" s="431" t="s">
        <v>131</v>
      </c>
      <c r="J701" s="357" t="s">
        <v>653</v>
      </c>
      <c r="K701" s="176"/>
    </row>
    <row r="702" spans="1:11" ht="15.6">
      <c r="A702" s="430">
        <v>46105</v>
      </c>
      <c r="B702" s="431" t="s">
        <v>1050</v>
      </c>
      <c r="C702" s="431" t="s">
        <v>647</v>
      </c>
      <c r="D702" s="431" t="s">
        <v>259</v>
      </c>
      <c r="E702" s="357"/>
      <c r="F702" s="357">
        <v>3000</v>
      </c>
      <c r="G702" s="406"/>
      <c r="H702" s="406">
        <f t="shared" si="8"/>
        <v>-46550</v>
      </c>
      <c r="I702" s="431" t="s">
        <v>131</v>
      </c>
      <c r="J702" s="357" t="s">
        <v>658</v>
      </c>
      <c r="K702" s="176"/>
    </row>
    <row r="703" spans="1:11" ht="15.6">
      <c r="A703" s="430">
        <v>46105</v>
      </c>
      <c r="B703" s="431" t="s">
        <v>1027</v>
      </c>
      <c r="C703" s="431" t="s">
        <v>539</v>
      </c>
      <c r="D703" s="431" t="s">
        <v>259</v>
      </c>
      <c r="E703" s="357"/>
      <c r="F703" s="357">
        <v>3500</v>
      </c>
      <c r="G703" s="406"/>
      <c r="H703" s="406">
        <f t="shared" si="8"/>
        <v>-50050</v>
      </c>
      <c r="I703" s="431" t="s">
        <v>131</v>
      </c>
      <c r="J703" s="357" t="s">
        <v>653</v>
      </c>
      <c r="K703" s="176"/>
    </row>
    <row r="704" spans="1:11" ht="15.6">
      <c r="A704" s="430">
        <v>46105</v>
      </c>
      <c r="B704" s="431" t="s">
        <v>645</v>
      </c>
      <c r="C704" s="431" t="s">
        <v>102</v>
      </c>
      <c r="D704" s="431" t="s">
        <v>259</v>
      </c>
      <c r="E704" s="357">
        <v>72000</v>
      </c>
      <c r="F704" s="357"/>
      <c r="G704" s="406"/>
      <c r="H704" s="406">
        <f t="shared" si="8"/>
        <v>21950</v>
      </c>
      <c r="I704" s="431" t="s">
        <v>131</v>
      </c>
      <c r="J704" s="357" t="s">
        <v>682</v>
      </c>
      <c r="K704" s="176"/>
    </row>
    <row r="705" spans="1:11" ht="15.6">
      <c r="A705" s="430">
        <v>46105</v>
      </c>
      <c r="B705" s="431" t="s">
        <v>1027</v>
      </c>
      <c r="C705" s="431" t="s">
        <v>539</v>
      </c>
      <c r="D705" s="431" t="s">
        <v>259</v>
      </c>
      <c r="E705" s="357"/>
      <c r="F705" s="357">
        <v>500</v>
      </c>
      <c r="G705" s="406"/>
      <c r="H705" s="406">
        <f t="shared" si="8"/>
        <v>21450</v>
      </c>
      <c r="I705" s="431" t="s">
        <v>131</v>
      </c>
      <c r="J705" s="357" t="s">
        <v>653</v>
      </c>
      <c r="K705" s="176"/>
    </row>
    <row r="706" spans="1:11" ht="15.6">
      <c r="A706" s="432">
        <v>46105</v>
      </c>
      <c r="B706" s="433" t="s">
        <v>650</v>
      </c>
      <c r="C706" s="433" t="s">
        <v>110</v>
      </c>
      <c r="D706" s="433" t="s">
        <v>259</v>
      </c>
      <c r="E706" s="356">
        <v>7500</v>
      </c>
      <c r="F706" s="356"/>
      <c r="G706" s="406"/>
      <c r="H706" s="406">
        <f t="shared" si="8"/>
        <v>28950</v>
      </c>
      <c r="I706" s="433" t="s">
        <v>131</v>
      </c>
      <c r="J706" s="356" t="s">
        <v>683</v>
      </c>
      <c r="K706" s="176"/>
    </row>
    <row r="707" spans="1:11" ht="15.6">
      <c r="A707" s="432">
        <v>46105</v>
      </c>
      <c r="B707" s="433" t="s">
        <v>650</v>
      </c>
      <c r="C707" s="433" t="s">
        <v>110</v>
      </c>
      <c r="D707" s="433" t="s">
        <v>259</v>
      </c>
      <c r="E707" s="356"/>
      <c r="F707" s="356">
        <v>7500</v>
      </c>
      <c r="G707" s="406"/>
      <c r="H707" s="406">
        <f t="shared" si="8"/>
        <v>21450</v>
      </c>
      <c r="I707" s="433" t="s">
        <v>131</v>
      </c>
      <c r="J707" s="356" t="s">
        <v>683</v>
      </c>
      <c r="K707" s="176"/>
    </row>
    <row r="708" spans="1:11" ht="15.6">
      <c r="A708" s="430">
        <v>46106</v>
      </c>
      <c r="B708" s="431" t="s">
        <v>1027</v>
      </c>
      <c r="C708" s="431" t="s">
        <v>539</v>
      </c>
      <c r="D708" s="431" t="s">
        <v>259</v>
      </c>
      <c r="E708" s="357"/>
      <c r="F708" s="357">
        <v>500</v>
      </c>
      <c r="G708" s="406"/>
      <c r="H708" s="406">
        <f t="shared" si="8"/>
        <v>20950</v>
      </c>
      <c r="I708" s="431" t="s">
        <v>131</v>
      </c>
      <c r="J708" s="357" t="s">
        <v>653</v>
      </c>
      <c r="K708" s="176"/>
    </row>
    <row r="709" spans="1:11" ht="15.6">
      <c r="A709" s="430">
        <v>46106</v>
      </c>
      <c r="B709" s="431" t="s">
        <v>1027</v>
      </c>
      <c r="C709" s="431" t="s">
        <v>539</v>
      </c>
      <c r="D709" s="431" t="s">
        <v>259</v>
      </c>
      <c r="E709" s="357"/>
      <c r="F709" s="357">
        <v>500</v>
      </c>
      <c r="G709" s="406"/>
      <c r="H709" s="406">
        <f t="shared" ref="H709:H728" si="9">+H708+E709-F709</f>
        <v>20450</v>
      </c>
      <c r="I709" s="431" t="s">
        <v>131</v>
      </c>
      <c r="J709" s="357" t="s">
        <v>653</v>
      </c>
      <c r="K709" s="176"/>
    </row>
    <row r="710" spans="1:11" ht="15.6">
      <c r="A710" s="430">
        <v>46106</v>
      </c>
      <c r="B710" s="431" t="s">
        <v>645</v>
      </c>
      <c r="C710" s="431" t="s">
        <v>102</v>
      </c>
      <c r="D710" s="431" t="s">
        <v>259</v>
      </c>
      <c r="E710" s="357">
        <v>46000</v>
      </c>
      <c r="F710" s="357"/>
      <c r="G710" s="406"/>
      <c r="H710" s="406">
        <f t="shared" si="9"/>
        <v>66450</v>
      </c>
      <c r="I710" s="431" t="s">
        <v>131</v>
      </c>
      <c r="J710" s="357" t="s">
        <v>684</v>
      </c>
      <c r="K710" s="176"/>
    </row>
    <row r="711" spans="1:11" ht="15.6">
      <c r="A711" s="430">
        <v>46107</v>
      </c>
      <c r="B711" s="431" t="s">
        <v>1031</v>
      </c>
      <c r="C711" s="431" t="s">
        <v>539</v>
      </c>
      <c r="D711" s="431" t="s">
        <v>259</v>
      </c>
      <c r="E711" s="357"/>
      <c r="F711" s="357">
        <v>500</v>
      </c>
      <c r="G711" s="406"/>
      <c r="H711" s="406">
        <f t="shared" si="9"/>
        <v>65950</v>
      </c>
      <c r="I711" s="431" t="s">
        <v>131</v>
      </c>
      <c r="J711" s="357" t="s">
        <v>653</v>
      </c>
      <c r="K711" s="176"/>
    </row>
    <row r="712" spans="1:11" ht="15.6">
      <c r="A712" s="430">
        <v>46107</v>
      </c>
      <c r="B712" s="431" t="s">
        <v>1027</v>
      </c>
      <c r="C712" s="431" t="s">
        <v>539</v>
      </c>
      <c r="D712" s="431" t="s">
        <v>259</v>
      </c>
      <c r="E712" s="357"/>
      <c r="F712" s="357">
        <v>500</v>
      </c>
      <c r="G712" s="406"/>
      <c r="H712" s="406">
        <f t="shared" si="9"/>
        <v>65450</v>
      </c>
      <c r="I712" s="431" t="s">
        <v>131</v>
      </c>
      <c r="J712" s="357" t="s">
        <v>653</v>
      </c>
      <c r="K712" s="176"/>
    </row>
    <row r="713" spans="1:11" ht="15.6">
      <c r="A713" s="430">
        <v>46107</v>
      </c>
      <c r="B713" s="431" t="s">
        <v>1027</v>
      </c>
      <c r="C713" s="431" t="s">
        <v>539</v>
      </c>
      <c r="D713" s="431" t="s">
        <v>259</v>
      </c>
      <c r="E713" s="357"/>
      <c r="F713" s="357">
        <v>500</v>
      </c>
      <c r="G713" s="406"/>
      <c r="H713" s="406">
        <f t="shared" si="9"/>
        <v>64950</v>
      </c>
      <c r="I713" s="431" t="s">
        <v>131</v>
      </c>
      <c r="J713" s="357" t="s">
        <v>653</v>
      </c>
      <c r="K713" s="176"/>
    </row>
    <row r="714" spans="1:11" ht="15.6">
      <c r="A714" s="430">
        <v>46107</v>
      </c>
      <c r="B714" s="431" t="s">
        <v>1027</v>
      </c>
      <c r="C714" s="431" t="s">
        <v>539</v>
      </c>
      <c r="D714" s="431" t="s">
        <v>259</v>
      </c>
      <c r="E714" s="357"/>
      <c r="F714" s="357">
        <v>500</v>
      </c>
      <c r="G714" s="406"/>
      <c r="H714" s="406">
        <f t="shared" si="9"/>
        <v>64450</v>
      </c>
      <c r="I714" s="431" t="s">
        <v>131</v>
      </c>
      <c r="J714" s="357" t="s">
        <v>653</v>
      </c>
      <c r="K714" s="176"/>
    </row>
    <row r="715" spans="1:11" ht="15.6">
      <c r="A715" s="430">
        <v>46108</v>
      </c>
      <c r="B715" s="431" t="s">
        <v>1031</v>
      </c>
      <c r="C715" s="431" t="s">
        <v>539</v>
      </c>
      <c r="D715" s="431" t="s">
        <v>259</v>
      </c>
      <c r="E715" s="357"/>
      <c r="F715" s="357">
        <v>500</v>
      </c>
      <c r="G715" s="406"/>
      <c r="H715" s="406">
        <f t="shared" si="9"/>
        <v>63950</v>
      </c>
      <c r="I715" s="431" t="s">
        <v>131</v>
      </c>
      <c r="J715" s="357" t="s">
        <v>653</v>
      </c>
      <c r="K715" s="176"/>
    </row>
    <row r="716" spans="1:11" ht="15.6">
      <c r="A716" s="430">
        <v>46108</v>
      </c>
      <c r="B716" s="431" t="s">
        <v>1031</v>
      </c>
      <c r="C716" s="431" t="s">
        <v>539</v>
      </c>
      <c r="D716" s="431" t="s">
        <v>259</v>
      </c>
      <c r="E716" s="357"/>
      <c r="F716" s="357">
        <v>500</v>
      </c>
      <c r="G716" s="406"/>
      <c r="H716" s="406">
        <f t="shared" si="9"/>
        <v>63450</v>
      </c>
      <c r="I716" s="431" t="s">
        <v>131</v>
      </c>
      <c r="J716" s="357" t="s">
        <v>653</v>
      </c>
      <c r="K716" s="176"/>
    </row>
    <row r="717" spans="1:11" ht="15.6">
      <c r="A717" s="430">
        <v>46108</v>
      </c>
      <c r="B717" s="431" t="s">
        <v>1057</v>
      </c>
      <c r="C717" s="431" t="s">
        <v>647</v>
      </c>
      <c r="D717" s="431" t="s">
        <v>259</v>
      </c>
      <c r="E717" s="357"/>
      <c r="F717" s="357">
        <v>1600</v>
      </c>
      <c r="G717" s="406"/>
      <c r="H717" s="406">
        <f t="shared" si="9"/>
        <v>61850</v>
      </c>
      <c r="I717" s="431" t="s">
        <v>131</v>
      </c>
      <c r="J717" s="357" t="s">
        <v>658</v>
      </c>
      <c r="K717" s="176"/>
    </row>
    <row r="718" spans="1:11" ht="15.6">
      <c r="A718" s="430">
        <v>46108</v>
      </c>
      <c r="B718" s="431" t="s">
        <v>1031</v>
      </c>
      <c r="C718" s="431" t="s">
        <v>539</v>
      </c>
      <c r="D718" s="431" t="s">
        <v>259</v>
      </c>
      <c r="E718" s="357"/>
      <c r="F718" s="357">
        <v>500</v>
      </c>
      <c r="G718" s="406"/>
      <c r="H718" s="406">
        <f t="shared" si="9"/>
        <v>61350</v>
      </c>
      <c r="I718" s="431" t="s">
        <v>131</v>
      </c>
      <c r="J718" s="357" t="s">
        <v>653</v>
      </c>
      <c r="K718" s="176"/>
    </row>
    <row r="719" spans="1:11" ht="15.6">
      <c r="A719" s="430">
        <v>46108</v>
      </c>
      <c r="B719" s="431" t="s">
        <v>645</v>
      </c>
      <c r="C719" s="431" t="s">
        <v>102</v>
      </c>
      <c r="D719" s="431" t="s">
        <v>259</v>
      </c>
      <c r="E719" s="357">
        <v>23000</v>
      </c>
      <c r="F719" s="357"/>
      <c r="G719" s="406"/>
      <c r="H719" s="406">
        <f t="shared" si="9"/>
        <v>84350</v>
      </c>
      <c r="I719" s="431" t="s">
        <v>131</v>
      </c>
      <c r="J719" s="357" t="s">
        <v>685</v>
      </c>
      <c r="K719" s="176"/>
    </row>
    <row r="720" spans="1:11" ht="15.6">
      <c r="A720" s="430">
        <v>46108</v>
      </c>
      <c r="B720" s="431" t="s">
        <v>1031</v>
      </c>
      <c r="C720" s="431" t="s">
        <v>539</v>
      </c>
      <c r="D720" s="431" t="s">
        <v>259</v>
      </c>
      <c r="E720" s="357"/>
      <c r="F720" s="357">
        <v>500</v>
      </c>
      <c r="G720" s="406"/>
      <c r="H720" s="406">
        <f t="shared" si="9"/>
        <v>83850</v>
      </c>
      <c r="I720" s="431" t="s">
        <v>131</v>
      </c>
      <c r="J720" s="357" t="s">
        <v>653</v>
      </c>
      <c r="K720" s="176"/>
    </row>
    <row r="721" spans="1:11" ht="15.6">
      <c r="A721" s="432">
        <v>46109</v>
      </c>
      <c r="B721" s="433" t="s">
        <v>1039</v>
      </c>
      <c r="C721" s="433" t="s">
        <v>542</v>
      </c>
      <c r="D721" s="433" t="s">
        <v>259</v>
      </c>
      <c r="E721" s="356"/>
      <c r="F721" s="356">
        <v>50000</v>
      </c>
      <c r="G721" s="406"/>
      <c r="H721" s="406">
        <f t="shared" si="9"/>
        <v>33850</v>
      </c>
      <c r="I721" s="433" t="s">
        <v>131</v>
      </c>
      <c r="J721" s="356" t="s">
        <v>686</v>
      </c>
      <c r="K721" s="176"/>
    </row>
    <row r="722" spans="1:11" ht="15.6">
      <c r="A722" s="430">
        <v>46109</v>
      </c>
      <c r="B722" s="431" t="s">
        <v>1031</v>
      </c>
      <c r="C722" s="431" t="s">
        <v>539</v>
      </c>
      <c r="D722" s="431" t="s">
        <v>259</v>
      </c>
      <c r="E722" s="357"/>
      <c r="F722" s="357">
        <v>500</v>
      </c>
      <c r="G722" s="406"/>
      <c r="H722" s="406">
        <f t="shared" si="9"/>
        <v>33350</v>
      </c>
      <c r="I722" s="431" t="s">
        <v>131</v>
      </c>
      <c r="J722" s="357" t="s">
        <v>653</v>
      </c>
      <c r="K722" s="176"/>
    </row>
    <row r="723" spans="1:11" ht="15.6">
      <c r="A723" s="432">
        <v>46109</v>
      </c>
      <c r="B723" s="433" t="s">
        <v>1028</v>
      </c>
      <c r="C723" s="433" t="s">
        <v>402</v>
      </c>
      <c r="D723" s="433" t="s">
        <v>259</v>
      </c>
      <c r="E723" s="356"/>
      <c r="F723" s="356">
        <v>9000</v>
      </c>
      <c r="G723" s="406"/>
      <c r="H723" s="406">
        <f t="shared" si="9"/>
        <v>24350</v>
      </c>
      <c r="I723" s="433" t="s">
        <v>131</v>
      </c>
      <c r="J723" s="356" t="s">
        <v>687</v>
      </c>
      <c r="K723" s="176"/>
    </row>
    <row r="724" spans="1:11" ht="15.6">
      <c r="A724" s="430">
        <v>46109</v>
      </c>
      <c r="B724" s="431" t="s">
        <v>1027</v>
      </c>
      <c r="C724" s="431" t="s">
        <v>539</v>
      </c>
      <c r="D724" s="431" t="s">
        <v>259</v>
      </c>
      <c r="E724" s="357"/>
      <c r="F724" s="357">
        <v>350</v>
      </c>
      <c r="G724" s="406"/>
      <c r="H724" s="406">
        <f t="shared" si="9"/>
        <v>24000</v>
      </c>
      <c r="I724" s="431" t="s">
        <v>131</v>
      </c>
      <c r="J724" s="357" t="s">
        <v>653</v>
      </c>
      <c r="K724" s="176"/>
    </row>
    <row r="725" spans="1:11" ht="15.6">
      <c r="A725" s="430">
        <v>46109</v>
      </c>
      <c r="B725" s="431" t="s">
        <v>1027</v>
      </c>
      <c r="C725" s="431" t="s">
        <v>539</v>
      </c>
      <c r="D725" s="431" t="s">
        <v>259</v>
      </c>
      <c r="E725" s="357"/>
      <c r="F725" s="357">
        <v>300</v>
      </c>
      <c r="G725" s="406"/>
      <c r="H725" s="406">
        <f t="shared" si="9"/>
        <v>23700</v>
      </c>
      <c r="I725" s="431" t="s">
        <v>131</v>
      </c>
      <c r="J725" s="357" t="s">
        <v>653</v>
      </c>
      <c r="K725" s="176"/>
    </row>
    <row r="726" spans="1:11" ht="15.6">
      <c r="A726" s="432">
        <v>46109</v>
      </c>
      <c r="B726" s="433" t="s">
        <v>1028</v>
      </c>
      <c r="C726" s="433" t="s">
        <v>402</v>
      </c>
      <c r="D726" s="433" t="s">
        <v>259</v>
      </c>
      <c r="E726" s="356"/>
      <c r="F726" s="356">
        <v>4000</v>
      </c>
      <c r="G726" s="173"/>
      <c r="H726" s="406">
        <f t="shared" si="9"/>
        <v>19700</v>
      </c>
      <c r="I726" s="433" t="s">
        <v>131</v>
      </c>
      <c r="J726" s="356" t="s">
        <v>688</v>
      </c>
      <c r="K726" s="176"/>
    </row>
    <row r="727" spans="1:11" ht="15.6">
      <c r="A727" s="432">
        <v>46109</v>
      </c>
      <c r="B727" s="433" t="s">
        <v>1028</v>
      </c>
      <c r="C727" s="433" t="s">
        <v>402</v>
      </c>
      <c r="D727" s="433" t="s">
        <v>259</v>
      </c>
      <c r="E727" s="356"/>
      <c r="F727" s="356">
        <v>7000</v>
      </c>
      <c r="G727" s="173"/>
      <c r="H727" s="406">
        <f t="shared" si="9"/>
        <v>12700</v>
      </c>
      <c r="I727" s="433" t="s">
        <v>131</v>
      </c>
      <c r="J727" s="356" t="s">
        <v>689</v>
      </c>
      <c r="K727" s="176"/>
    </row>
    <row r="728" spans="1:11" ht="15.6">
      <c r="A728" s="430">
        <v>46109</v>
      </c>
      <c r="B728" s="431" t="s">
        <v>1025</v>
      </c>
      <c r="C728" s="431" t="s">
        <v>539</v>
      </c>
      <c r="D728" s="431" t="s">
        <v>259</v>
      </c>
      <c r="E728" s="357"/>
      <c r="F728" s="357">
        <v>2500</v>
      </c>
      <c r="G728" s="173"/>
      <c r="H728" s="173">
        <f t="shared" si="9"/>
        <v>10200</v>
      </c>
      <c r="I728" s="431" t="s">
        <v>131</v>
      </c>
      <c r="J728" s="357" t="s">
        <v>653</v>
      </c>
      <c r="K728" s="176"/>
    </row>
    <row r="729" spans="1:11" ht="15.6">
      <c r="A729" s="168"/>
      <c r="B729" s="176"/>
      <c r="C729" s="176"/>
      <c r="D729" s="176"/>
      <c r="E729" s="188">
        <f>SUM(E580:E728)</f>
        <v>629000</v>
      </c>
      <c r="F729" s="188">
        <f>SUM(F580:F728)</f>
        <v>613900</v>
      </c>
      <c r="G729" s="188"/>
      <c r="H729" s="196">
        <f>+E729-F729+H579</f>
        <v>10200</v>
      </c>
      <c r="I729" s="176"/>
      <c r="J729" s="176"/>
      <c r="K729" s="176"/>
    </row>
    <row r="730" spans="1:11" ht="15.6">
      <c r="A730" s="168"/>
      <c r="B730" s="176"/>
      <c r="C730" s="176"/>
      <c r="D730" s="176"/>
      <c r="E730" s="188"/>
      <c r="F730" s="188"/>
      <c r="G730" s="188"/>
      <c r="H730" s="196"/>
      <c r="I730" s="176"/>
      <c r="J730" s="176"/>
      <c r="K730" s="176"/>
    </row>
    <row r="731" spans="1:11" ht="15.6">
      <c r="A731" s="178"/>
      <c r="B731" s="176"/>
      <c r="C731" s="179" t="s">
        <v>153</v>
      </c>
      <c r="D731" s="176"/>
      <c r="E731" s="180"/>
      <c r="F731" s="180"/>
      <c r="G731" s="180"/>
      <c r="H731" s="181"/>
      <c r="I731" s="176"/>
      <c r="J731" s="176"/>
      <c r="K731" s="176"/>
    </row>
    <row r="732" spans="1:11" ht="15.6">
      <c r="A732" s="178"/>
      <c r="B732" s="176"/>
      <c r="C732" s="176"/>
      <c r="D732" s="176"/>
      <c r="E732" s="180"/>
      <c r="F732" s="180"/>
      <c r="G732" s="180"/>
      <c r="H732" s="181"/>
      <c r="I732" s="176"/>
      <c r="J732" s="176"/>
      <c r="K732" s="176"/>
    </row>
    <row r="733" spans="1:11" ht="15.6">
      <c r="A733" s="182" t="s">
        <v>0</v>
      </c>
      <c r="B733" s="183" t="s">
        <v>141</v>
      </c>
      <c r="C733" s="183" t="s">
        <v>142</v>
      </c>
      <c r="D733" s="183" t="s">
        <v>143</v>
      </c>
      <c r="E733" s="184" t="s">
        <v>144</v>
      </c>
      <c r="F733" s="184" t="s">
        <v>145</v>
      </c>
      <c r="G733" s="184"/>
      <c r="H733" s="190" t="s">
        <v>30</v>
      </c>
      <c r="I733" s="183" t="s">
        <v>146</v>
      </c>
      <c r="J733" s="183" t="s">
        <v>147</v>
      </c>
      <c r="K733" s="186"/>
    </row>
    <row r="734" spans="1:11" ht="15.6">
      <c r="A734" s="140">
        <v>46082</v>
      </c>
      <c r="B734" s="170" t="s">
        <v>857</v>
      </c>
      <c r="C734" s="170"/>
      <c r="D734" s="170"/>
      <c r="E734" s="173"/>
      <c r="F734" s="173"/>
      <c r="G734" s="173"/>
      <c r="H734" s="197">
        <v>0</v>
      </c>
      <c r="I734" s="170" t="s">
        <v>132</v>
      </c>
      <c r="J734" s="170"/>
      <c r="K734" s="176"/>
    </row>
    <row r="735" spans="1:11">
      <c r="A735" s="199"/>
      <c r="B735" s="195"/>
      <c r="C735" s="195"/>
      <c r="D735" s="195"/>
      <c r="E735" s="200">
        <f>E734</f>
        <v>0</v>
      </c>
      <c r="F735" s="200">
        <f>F734</f>
        <v>0</v>
      </c>
      <c r="G735" s="200"/>
      <c r="H735" s="225">
        <f>H734+E735-F735</f>
        <v>0</v>
      </c>
      <c r="I735" s="195"/>
      <c r="J735" s="195"/>
      <c r="K735" s="195"/>
    </row>
    <row r="736" spans="1:11" ht="15.6">
      <c r="A736" s="178"/>
      <c r="B736" s="176"/>
      <c r="C736" s="179" t="s">
        <v>154</v>
      </c>
      <c r="D736" s="176"/>
      <c r="E736" s="180"/>
      <c r="F736" s="180"/>
      <c r="G736" s="180"/>
      <c r="H736" s="181"/>
      <c r="I736" s="176"/>
      <c r="J736" s="176"/>
      <c r="K736" s="176"/>
    </row>
    <row r="737" spans="1:11" ht="15.6">
      <c r="A737" s="178"/>
      <c r="B737" s="176"/>
      <c r="C737" s="176"/>
      <c r="D737" s="176"/>
      <c r="E737" s="180"/>
      <c r="F737" s="180"/>
      <c r="G737" s="180"/>
      <c r="H737" s="181"/>
      <c r="I737" s="176"/>
      <c r="J737" s="176"/>
      <c r="K737" s="176"/>
    </row>
    <row r="738" spans="1:11" ht="15.6">
      <c r="A738" s="182" t="s">
        <v>0</v>
      </c>
      <c r="B738" s="183" t="s">
        <v>141</v>
      </c>
      <c r="C738" s="183" t="s">
        <v>142</v>
      </c>
      <c r="D738" s="183" t="s">
        <v>143</v>
      </c>
      <c r="E738" s="184" t="s">
        <v>144</v>
      </c>
      <c r="F738" s="184" t="s">
        <v>145</v>
      </c>
      <c r="G738" s="184"/>
      <c r="H738" s="185" t="s">
        <v>30</v>
      </c>
      <c r="I738" s="183" t="s">
        <v>146</v>
      </c>
      <c r="J738" s="183" t="s">
        <v>147</v>
      </c>
      <c r="K738" s="186"/>
    </row>
    <row r="739" spans="1:11" ht="15.6">
      <c r="A739" s="140">
        <v>46082</v>
      </c>
      <c r="B739" s="170" t="s">
        <v>858</v>
      </c>
      <c r="C739" s="170"/>
      <c r="D739" s="170"/>
      <c r="E739" s="173"/>
      <c r="F739" s="173"/>
      <c r="G739" s="173"/>
      <c r="H739" s="201">
        <v>0</v>
      </c>
      <c r="I739" s="170" t="s">
        <v>125</v>
      </c>
      <c r="J739" s="170"/>
      <c r="K739" s="176"/>
    </row>
    <row r="740" spans="1:11" ht="15.6">
      <c r="A740" s="425">
        <v>46090</v>
      </c>
      <c r="B740" s="413" t="s">
        <v>690</v>
      </c>
      <c r="C740" s="413" t="s">
        <v>104</v>
      </c>
      <c r="D740" s="75" t="s">
        <v>97</v>
      </c>
      <c r="E740" s="94">
        <v>127070</v>
      </c>
      <c r="F740" s="337"/>
      <c r="G740" s="173"/>
      <c r="H740" s="201">
        <f>H739+E740-F740</f>
        <v>127070</v>
      </c>
      <c r="I740" s="75" t="s">
        <v>125</v>
      </c>
      <c r="J740" s="75" t="s">
        <v>691</v>
      </c>
      <c r="K740" s="176"/>
    </row>
    <row r="741" spans="1:11" ht="15.6">
      <c r="A741" s="425">
        <v>46090</v>
      </c>
      <c r="B741" s="413" t="s">
        <v>690</v>
      </c>
      <c r="C741" s="413" t="s">
        <v>104</v>
      </c>
      <c r="D741" s="75" t="s">
        <v>97</v>
      </c>
      <c r="E741" s="337"/>
      <c r="F741" s="94">
        <v>127070</v>
      </c>
      <c r="G741" s="173"/>
      <c r="H741" s="201">
        <f>H740+E741-F741</f>
        <v>0</v>
      </c>
      <c r="I741" s="75" t="s">
        <v>125</v>
      </c>
      <c r="J741" s="75" t="s">
        <v>691</v>
      </c>
      <c r="K741" s="176"/>
    </row>
    <row r="742" spans="1:11" ht="15.6">
      <c r="A742" s="171"/>
      <c r="B742" s="195"/>
      <c r="C742" s="195"/>
      <c r="D742" s="195"/>
      <c r="E742" s="143">
        <f>SUM(E740:E741)</f>
        <v>127070</v>
      </c>
      <c r="F742" s="143">
        <f>SUM(F740:F741)</f>
        <v>127070</v>
      </c>
      <c r="G742" s="143"/>
      <c r="H742" s="198">
        <f>E742-F742+H739</f>
        <v>0</v>
      </c>
      <c r="I742" s="176"/>
      <c r="J742" s="176"/>
      <c r="K742" s="176"/>
    </row>
    <row r="743" spans="1:11" ht="15.6">
      <c r="A743" s="171"/>
      <c r="B743" s="195"/>
      <c r="C743" s="195"/>
      <c r="D743" s="195"/>
      <c r="E743" s="202"/>
      <c r="F743" s="180"/>
      <c r="G743" s="180"/>
      <c r="H743" s="198"/>
      <c r="I743" s="176"/>
      <c r="J743" s="176"/>
      <c r="K743" s="176"/>
    </row>
    <row r="744" spans="1:11" ht="15.6">
      <c r="A744" s="171"/>
      <c r="B744" s="195"/>
      <c r="C744" s="195"/>
      <c r="D744" s="195"/>
      <c r="E744" s="202"/>
      <c r="F744" s="180"/>
      <c r="G744" s="180"/>
      <c r="H744" s="198"/>
      <c r="I744" s="176"/>
      <c r="J744" s="176"/>
      <c r="K744" s="176"/>
    </row>
    <row r="745" spans="1:11" ht="15.6">
      <c r="A745" s="171"/>
      <c r="B745" s="507" t="s">
        <v>190</v>
      </c>
      <c r="C745" s="507"/>
      <c r="D745" s="507"/>
      <c r="E745" s="507"/>
      <c r="F745" s="180"/>
      <c r="G745" s="180"/>
      <c r="H745" s="198"/>
      <c r="I745" s="176"/>
      <c r="J745" s="176"/>
      <c r="K745" s="176"/>
    </row>
    <row r="746" spans="1:11" ht="15.6">
      <c r="A746" s="178"/>
      <c r="B746" s="176"/>
      <c r="C746" s="176"/>
      <c r="D746" s="176"/>
      <c r="E746" s="180"/>
      <c r="F746" s="180"/>
      <c r="G746" s="180"/>
      <c r="H746" s="181"/>
      <c r="I746" s="176"/>
      <c r="J746" s="176"/>
      <c r="K746" s="176"/>
    </row>
    <row r="747" spans="1:11" ht="15.6">
      <c r="A747" s="182" t="s">
        <v>0</v>
      </c>
      <c r="B747" s="183" t="s">
        <v>141</v>
      </c>
      <c r="C747" s="183" t="s">
        <v>142</v>
      </c>
      <c r="D747" s="183" t="s">
        <v>143</v>
      </c>
      <c r="E747" s="184" t="s">
        <v>144</v>
      </c>
      <c r="F747" s="184" t="s">
        <v>145</v>
      </c>
      <c r="G747" s="184"/>
      <c r="H747" s="185" t="s">
        <v>30</v>
      </c>
      <c r="I747" s="183" t="s">
        <v>146</v>
      </c>
      <c r="J747" s="183" t="s">
        <v>147</v>
      </c>
      <c r="K747" s="186"/>
    </row>
    <row r="748" spans="1:11" ht="15.6">
      <c r="A748" s="140">
        <v>46082</v>
      </c>
      <c r="B748" s="170" t="s">
        <v>857</v>
      </c>
      <c r="C748" s="170"/>
      <c r="D748" s="170"/>
      <c r="E748" s="173"/>
      <c r="F748" s="173"/>
      <c r="G748" s="173"/>
      <c r="H748" s="201">
        <v>0</v>
      </c>
      <c r="I748" s="170" t="s">
        <v>126</v>
      </c>
      <c r="J748" s="170"/>
      <c r="K748" s="176"/>
    </row>
    <row r="749" spans="1:11" ht="15.6">
      <c r="A749" s="355">
        <v>46090</v>
      </c>
      <c r="B749" s="413" t="s">
        <v>692</v>
      </c>
      <c r="C749" s="413" t="s">
        <v>104</v>
      </c>
      <c r="D749" s="172" t="s">
        <v>97</v>
      </c>
      <c r="E749" s="94">
        <v>127070</v>
      </c>
      <c r="F749" s="337"/>
      <c r="G749" s="173"/>
      <c r="H749" s="201">
        <f>H748+E749-F749</f>
        <v>127070</v>
      </c>
      <c r="I749" s="75" t="s">
        <v>126</v>
      </c>
      <c r="J749" s="75" t="s">
        <v>693</v>
      </c>
      <c r="K749" s="176"/>
    </row>
    <row r="750" spans="1:11" ht="15.6">
      <c r="A750" s="355">
        <v>46090</v>
      </c>
      <c r="B750" s="413" t="s">
        <v>692</v>
      </c>
      <c r="C750" s="413" t="s">
        <v>104</v>
      </c>
      <c r="D750" s="172" t="s">
        <v>97</v>
      </c>
      <c r="E750" s="337"/>
      <c r="F750" s="94">
        <v>127070</v>
      </c>
      <c r="G750" s="173"/>
      <c r="H750" s="201">
        <f>H749+E750-F750</f>
        <v>0</v>
      </c>
      <c r="I750" s="75" t="s">
        <v>126</v>
      </c>
      <c r="J750" s="75" t="s">
        <v>693</v>
      </c>
      <c r="K750" s="176"/>
    </row>
    <row r="751" spans="1:11" ht="15.6">
      <c r="A751" s="171"/>
      <c r="B751" s="195"/>
      <c r="C751" s="202"/>
      <c r="D751" s="195"/>
      <c r="E751" s="203">
        <f>SUM(E749:E750)</f>
        <v>127070</v>
      </c>
      <c r="F751" s="203">
        <f>SUM(F749:F750)</f>
        <v>127070</v>
      </c>
      <c r="G751" s="203"/>
      <c r="H751" s="198">
        <f>+E751-F751+H748</f>
        <v>0</v>
      </c>
      <c r="I751" s="176"/>
      <c r="J751" s="176"/>
      <c r="K751" s="176"/>
    </row>
    <row r="752" spans="1:11" ht="15.6">
      <c r="A752" s="178"/>
      <c r="B752" s="176"/>
      <c r="C752" s="179" t="s">
        <v>179</v>
      </c>
      <c r="D752" s="176"/>
      <c r="E752" s="180"/>
      <c r="F752" s="180"/>
      <c r="G752" s="180"/>
      <c r="H752" s="181"/>
      <c r="I752" s="176"/>
      <c r="J752" s="176"/>
      <c r="K752" s="176"/>
    </row>
    <row r="753" spans="1:11" ht="15.6">
      <c r="A753" s="178"/>
      <c r="B753" s="176"/>
      <c r="C753" s="176"/>
      <c r="D753" s="176"/>
      <c r="E753" s="180"/>
      <c r="F753" s="180"/>
      <c r="G753" s="180"/>
      <c r="H753" s="181"/>
      <c r="I753" s="176"/>
      <c r="J753" s="176"/>
      <c r="K753" s="176"/>
    </row>
    <row r="754" spans="1:11" ht="15.6">
      <c r="A754" s="182" t="s">
        <v>0</v>
      </c>
      <c r="B754" s="183" t="s">
        <v>141</v>
      </c>
      <c r="C754" s="183" t="s">
        <v>142</v>
      </c>
      <c r="D754" s="183" t="s">
        <v>143</v>
      </c>
      <c r="E754" s="184" t="s">
        <v>144</v>
      </c>
      <c r="F754" s="184" t="s">
        <v>145</v>
      </c>
      <c r="G754" s="184"/>
      <c r="H754" s="185" t="s">
        <v>155</v>
      </c>
      <c r="I754" s="183" t="s">
        <v>146</v>
      </c>
      <c r="J754" s="183" t="s">
        <v>147</v>
      </c>
      <c r="K754" s="186"/>
    </row>
    <row r="755" spans="1:11" ht="15.6">
      <c r="A755" s="140">
        <v>46082</v>
      </c>
      <c r="B755" s="170" t="s">
        <v>857</v>
      </c>
      <c r="C755" s="170"/>
      <c r="D755" s="170"/>
      <c r="E755" s="173"/>
      <c r="F755" s="173"/>
      <c r="G755" s="173"/>
      <c r="H755" s="174">
        <v>13130</v>
      </c>
      <c r="I755" s="170" t="s">
        <v>127</v>
      </c>
      <c r="J755" s="170"/>
      <c r="K755" s="176"/>
    </row>
    <row r="756" spans="1:11" ht="15.6">
      <c r="A756" s="434">
        <v>46085</v>
      </c>
      <c r="B756" s="172" t="s">
        <v>694</v>
      </c>
      <c r="C756" s="435" t="s">
        <v>110</v>
      </c>
      <c r="D756" s="435" t="s">
        <v>97</v>
      </c>
      <c r="E756" s="436">
        <v>3000</v>
      </c>
      <c r="F756" s="436"/>
      <c r="G756" s="173"/>
      <c r="H756" s="174">
        <f>+H755+E756-F756</f>
        <v>16130</v>
      </c>
      <c r="I756" s="435" t="s">
        <v>134</v>
      </c>
      <c r="J756" s="172" t="s">
        <v>728</v>
      </c>
      <c r="K756" s="176"/>
    </row>
    <row r="757" spans="1:11" ht="15.6">
      <c r="A757" s="434">
        <v>46085</v>
      </c>
      <c r="B757" s="172" t="s">
        <v>694</v>
      </c>
      <c r="C757" s="435" t="s">
        <v>110</v>
      </c>
      <c r="D757" s="435" t="s">
        <v>97</v>
      </c>
      <c r="E757" s="436"/>
      <c r="F757" s="436">
        <v>3000</v>
      </c>
      <c r="G757" s="173"/>
      <c r="H757" s="174">
        <f t="shared" ref="H757:H797" si="10">+H756+E757-F757</f>
        <v>13130</v>
      </c>
      <c r="I757" s="435" t="s">
        <v>134</v>
      </c>
      <c r="J757" s="172" t="s">
        <v>728</v>
      </c>
      <c r="K757" s="176"/>
    </row>
    <row r="758" spans="1:11" ht="15.6">
      <c r="A758" s="434">
        <v>46090</v>
      </c>
      <c r="B758" s="413" t="s">
        <v>695</v>
      </c>
      <c r="C758" s="435" t="s">
        <v>104</v>
      </c>
      <c r="D758" s="435" t="s">
        <v>97</v>
      </c>
      <c r="E758" s="94">
        <v>127070</v>
      </c>
      <c r="F758" s="436"/>
      <c r="G758" s="173"/>
      <c r="H758" s="174">
        <f t="shared" si="10"/>
        <v>140200</v>
      </c>
      <c r="I758" s="75" t="s">
        <v>127</v>
      </c>
      <c r="J758" s="75" t="s">
        <v>729</v>
      </c>
      <c r="K758" s="176"/>
    </row>
    <row r="759" spans="1:11" ht="15.6">
      <c r="A759" s="434">
        <v>46090</v>
      </c>
      <c r="B759" s="413" t="s">
        <v>695</v>
      </c>
      <c r="C759" s="435" t="s">
        <v>104</v>
      </c>
      <c r="D759" s="435" t="s">
        <v>97</v>
      </c>
      <c r="E759" s="436"/>
      <c r="F759" s="94">
        <v>127070</v>
      </c>
      <c r="G759" s="173"/>
      <c r="H759" s="174">
        <f t="shared" si="10"/>
        <v>13130</v>
      </c>
      <c r="I759" s="75" t="s">
        <v>127</v>
      </c>
      <c r="J759" s="75" t="s">
        <v>729</v>
      </c>
      <c r="K759" s="176"/>
    </row>
    <row r="760" spans="1:11" ht="15.6">
      <c r="A760" s="434">
        <v>46091</v>
      </c>
      <c r="B760" s="124" t="s">
        <v>696</v>
      </c>
      <c r="C760" s="435" t="s">
        <v>337</v>
      </c>
      <c r="D760" s="435" t="s">
        <v>97</v>
      </c>
      <c r="E760" s="437"/>
      <c r="F760" s="437">
        <v>1000</v>
      </c>
      <c r="G760" s="173"/>
      <c r="H760" s="174">
        <f t="shared" si="10"/>
        <v>12130</v>
      </c>
      <c r="I760" s="435" t="s">
        <v>134</v>
      </c>
      <c r="J760" s="172" t="s">
        <v>730</v>
      </c>
      <c r="K760" s="176"/>
    </row>
    <row r="761" spans="1:11" ht="15.6">
      <c r="A761" s="434">
        <v>46091</v>
      </c>
      <c r="B761" s="124" t="s">
        <v>697</v>
      </c>
      <c r="C761" s="435" t="s">
        <v>337</v>
      </c>
      <c r="D761" s="435" t="s">
        <v>97</v>
      </c>
      <c r="E761" s="437"/>
      <c r="F761" s="437">
        <v>1000</v>
      </c>
      <c r="G761" s="173"/>
      <c r="H761" s="174">
        <f t="shared" si="10"/>
        <v>11130</v>
      </c>
      <c r="I761" s="435" t="s">
        <v>134</v>
      </c>
      <c r="J761" s="172" t="s">
        <v>730</v>
      </c>
      <c r="K761" s="176"/>
    </row>
    <row r="762" spans="1:11" ht="15.6">
      <c r="A762" s="434">
        <v>46091</v>
      </c>
      <c r="B762" s="124" t="s">
        <v>698</v>
      </c>
      <c r="C762" s="435" t="s">
        <v>337</v>
      </c>
      <c r="D762" s="435" t="s">
        <v>97</v>
      </c>
      <c r="E762" s="437"/>
      <c r="F762" s="437">
        <v>1000</v>
      </c>
      <c r="G762" s="173"/>
      <c r="H762" s="174">
        <f t="shared" si="10"/>
        <v>10130</v>
      </c>
      <c r="I762" s="435" t="s">
        <v>134</v>
      </c>
      <c r="J762" s="172" t="s">
        <v>730</v>
      </c>
      <c r="K762" s="176"/>
    </row>
    <row r="763" spans="1:11" ht="15.6">
      <c r="A763" s="434">
        <v>46091</v>
      </c>
      <c r="B763" s="124" t="s">
        <v>697</v>
      </c>
      <c r="C763" s="435" t="s">
        <v>337</v>
      </c>
      <c r="D763" s="435" t="s">
        <v>97</v>
      </c>
      <c r="E763" s="437"/>
      <c r="F763" s="437">
        <v>1000</v>
      </c>
      <c r="G763" s="173"/>
      <c r="H763" s="174">
        <f t="shared" si="10"/>
        <v>9130</v>
      </c>
      <c r="I763" s="435" t="s">
        <v>134</v>
      </c>
      <c r="J763" s="172" t="s">
        <v>730</v>
      </c>
      <c r="K763" s="176"/>
    </row>
    <row r="764" spans="1:11" ht="15.6">
      <c r="A764" s="434">
        <v>46091</v>
      </c>
      <c r="B764" s="172" t="s">
        <v>699</v>
      </c>
      <c r="C764" s="435" t="s">
        <v>110</v>
      </c>
      <c r="D764" s="435" t="s">
        <v>97</v>
      </c>
      <c r="E764" s="437">
        <v>7500</v>
      </c>
      <c r="F764" s="437"/>
      <c r="G764" s="173"/>
      <c r="H764" s="174">
        <f t="shared" si="10"/>
        <v>16630</v>
      </c>
      <c r="I764" s="435" t="s">
        <v>134</v>
      </c>
      <c r="J764" s="172" t="s">
        <v>731</v>
      </c>
      <c r="K764" s="176"/>
    </row>
    <row r="765" spans="1:11" ht="15.6">
      <c r="A765" s="434">
        <v>46091</v>
      </c>
      <c r="B765" s="172" t="s">
        <v>699</v>
      </c>
      <c r="C765" s="435" t="s">
        <v>110</v>
      </c>
      <c r="D765" s="435" t="s">
        <v>97</v>
      </c>
      <c r="E765" s="437"/>
      <c r="F765" s="437">
        <v>7500</v>
      </c>
      <c r="G765" s="173"/>
      <c r="H765" s="174">
        <f t="shared" si="10"/>
        <v>9130</v>
      </c>
      <c r="I765" s="435" t="s">
        <v>134</v>
      </c>
      <c r="J765" s="172" t="s">
        <v>731</v>
      </c>
      <c r="K765" s="176"/>
    </row>
    <row r="766" spans="1:11" ht="15.6">
      <c r="A766" s="434">
        <v>46099</v>
      </c>
      <c r="B766" s="172" t="s">
        <v>700</v>
      </c>
      <c r="C766" s="435" t="s">
        <v>110</v>
      </c>
      <c r="D766" s="435" t="s">
        <v>97</v>
      </c>
      <c r="E766" s="437">
        <v>7500</v>
      </c>
      <c r="F766" s="437"/>
      <c r="G766" s="173"/>
      <c r="H766" s="174">
        <f t="shared" si="10"/>
        <v>16630</v>
      </c>
      <c r="I766" s="435" t="s">
        <v>134</v>
      </c>
      <c r="J766" s="172" t="s">
        <v>732</v>
      </c>
      <c r="K766" s="176"/>
    </row>
    <row r="767" spans="1:11" ht="15.6">
      <c r="A767" s="434">
        <v>46099</v>
      </c>
      <c r="B767" s="172" t="s">
        <v>700</v>
      </c>
      <c r="C767" s="435" t="s">
        <v>110</v>
      </c>
      <c r="D767" s="435" t="s">
        <v>97</v>
      </c>
      <c r="E767" s="437"/>
      <c r="F767" s="437">
        <v>7500</v>
      </c>
      <c r="G767" s="173"/>
      <c r="H767" s="174">
        <f t="shared" si="10"/>
        <v>9130</v>
      </c>
      <c r="I767" s="435" t="s">
        <v>134</v>
      </c>
      <c r="J767" s="172" t="s">
        <v>732</v>
      </c>
      <c r="K767" s="176"/>
    </row>
    <row r="768" spans="1:11" ht="15.6">
      <c r="A768" s="434">
        <v>46105</v>
      </c>
      <c r="B768" s="172" t="s">
        <v>701</v>
      </c>
      <c r="C768" s="435" t="s">
        <v>110</v>
      </c>
      <c r="D768" s="435" t="s">
        <v>97</v>
      </c>
      <c r="E768" s="437">
        <v>7500</v>
      </c>
      <c r="F768" s="437"/>
      <c r="G768" s="173"/>
      <c r="H768" s="174">
        <f t="shared" si="10"/>
        <v>16630</v>
      </c>
      <c r="I768" s="435" t="s">
        <v>134</v>
      </c>
      <c r="J768" s="172" t="s">
        <v>733</v>
      </c>
      <c r="K768" s="176"/>
    </row>
    <row r="769" spans="1:11" ht="15.6">
      <c r="A769" s="434">
        <v>46105</v>
      </c>
      <c r="B769" s="172" t="s">
        <v>701</v>
      </c>
      <c r="C769" s="435" t="s">
        <v>110</v>
      </c>
      <c r="D769" s="435" t="s">
        <v>97</v>
      </c>
      <c r="E769" s="437"/>
      <c r="F769" s="437">
        <v>7500</v>
      </c>
      <c r="G769" s="173"/>
      <c r="H769" s="174">
        <f t="shared" si="10"/>
        <v>9130</v>
      </c>
      <c r="I769" s="435" t="s">
        <v>134</v>
      </c>
      <c r="J769" s="172" t="s">
        <v>733</v>
      </c>
      <c r="K769" s="176"/>
    </row>
    <row r="770" spans="1:11" ht="15.6">
      <c r="A770" s="434">
        <v>46106</v>
      </c>
      <c r="B770" s="124" t="s">
        <v>702</v>
      </c>
      <c r="C770" s="435" t="s">
        <v>337</v>
      </c>
      <c r="D770" s="435" t="s">
        <v>97</v>
      </c>
      <c r="E770" s="437"/>
      <c r="F770" s="437">
        <v>1000</v>
      </c>
      <c r="G770" s="173"/>
      <c r="H770" s="174">
        <f t="shared" si="10"/>
        <v>8130</v>
      </c>
      <c r="I770" s="435" t="s">
        <v>134</v>
      </c>
      <c r="J770" s="172" t="s">
        <v>730</v>
      </c>
      <c r="K770" s="176"/>
    </row>
    <row r="771" spans="1:11" ht="15.6">
      <c r="A771" s="434">
        <v>46106</v>
      </c>
      <c r="B771" s="124" t="s">
        <v>703</v>
      </c>
      <c r="C771" s="435" t="s">
        <v>337</v>
      </c>
      <c r="D771" s="435" t="s">
        <v>97</v>
      </c>
      <c r="E771" s="437"/>
      <c r="F771" s="437">
        <v>1000</v>
      </c>
      <c r="G771" s="173"/>
      <c r="H771" s="174">
        <f t="shared" si="10"/>
        <v>7130</v>
      </c>
      <c r="I771" s="435" t="s">
        <v>134</v>
      </c>
      <c r="J771" s="172" t="s">
        <v>730</v>
      </c>
      <c r="K771" s="176"/>
    </row>
    <row r="772" spans="1:11" ht="15.6">
      <c r="A772" s="434">
        <v>46106</v>
      </c>
      <c r="B772" s="172" t="s">
        <v>704</v>
      </c>
      <c r="C772" s="172" t="s">
        <v>102</v>
      </c>
      <c r="D772" s="435" t="s">
        <v>97</v>
      </c>
      <c r="E772" s="436">
        <v>50000</v>
      </c>
      <c r="F772" s="437"/>
      <c r="G772" s="173"/>
      <c r="H772" s="174">
        <f t="shared" si="10"/>
        <v>57130</v>
      </c>
      <c r="I772" s="435" t="s">
        <v>134</v>
      </c>
      <c r="J772" s="172" t="s">
        <v>734</v>
      </c>
      <c r="K772" s="176"/>
    </row>
    <row r="773" spans="1:11" ht="15.6">
      <c r="A773" s="434">
        <v>46106</v>
      </c>
      <c r="B773" s="172" t="s">
        <v>705</v>
      </c>
      <c r="C773" s="435" t="s">
        <v>706</v>
      </c>
      <c r="D773" s="435" t="s">
        <v>97</v>
      </c>
      <c r="E773" s="436"/>
      <c r="F773" s="436">
        <v>9000</v>
      </c>
      <c r="G773" s="173"/>
      <c r="H773" s="174">
        <f t="shared" si="10"/>
        <v>48130</v>
      </c>
      <c r="I773" s="435" t="s">
        <v>134</v>
      </c>
      <c r="J773" s="172" t="s">
        <v>735</v>
      </c>
      <c r="K773" s="176"/>
    </row>
    <row r="774" spans="1:11" ht="15.6">
      <c r="A774" s="434">
        <v>46107</v>
      </c>
      <c r="B774" s="124" t="s">
        <v>707</v>
      </c>
      <c r="C774" s="435" t="s">
        <v>337</v>
      </c>
      <c r="D774" s="435" t="s">
        <v>97</v>
      </c>
      <c r="E774" s="437"/>
      <c r="F774" s="437">
        <v>1000</v>
      </c>
      <c r="G774" s="173"/>
      <c r="H774" s="174">
        <f t="shared" si="10"/>
        <v>47130</v>
      </c>
      <c r="I774" s="435" t="s">
        <v>134</v>
      </c>
      <c r="J774" s="172" t="s">
        <v>730</v>
      </c>
      <c r="K774" s="176"/>
    </row>
    <row r="775" spans="1:11" ht="15.6">
      <c r="A775" s="434">
        <v>46107</v>
      </c>
      <c r="B775" s="172" t="s">
        <v>708</v>
      </c>
      <c r="C775" s="435" t="s">
        <v>337</v>
      </c>
      <c r="D775" s="435" t="s">
        <v>97</v>
      </c>
      <c r="E775" s="436"/>
      <c r="F775" s="436">
        <v>500</v>
      </c>
      <c r="G775" s="173"/>
      <c r="H775" s="174">
        <f t="shared" si="10"/>
        <v>46630</v>
      </c>
      <c r="I775" s="435" t="s">
        <v>134</v>
      </c>
      <c r="J775" s="172" t="s">
        <v>730</v>
      </c>
      <c r="K775" s="176"/>
    </row>
    <row r="776" spans="1:11" ht="15.6">
      <c r="A776" s="434">
        <v>46107</v>
      </c>
      <c r="B776" s="438" t="s">
        <v>709</v>
      </c>
      <c r="C776" s="438" t="s">
        <v>542</v>
      </c>
      <c r="D776" s="438" t="s">
        <v>97</v>
      </c>
      <c r="E776" s="436"/>
      <c r="F776" s="436">
        <v>30000</v>
      </c>
      <c r="G776" s="173"/>
      <c r="H776" s="174">
        <f t="shared" si="10"/>
        <v>16630</v>
      </c>
      <c r="I776" s="435" t="s">
        <v>134</v>
      </c>
      <c r="J776" s="172" t="s">
        <v>736</v>
      </c>
      <c r="K776" s="176"/>
    </row>
    <row r="777" spans="1:11" ht="15.6">
      <c r="A777" s="434">
        <v>46108</v>
      </c>
      <c r="B777" s="172" t="s">
        <v>710</v>
      </c>
      <c r="C777" s="435" t="s">
        <v>337</v>
      </c>
      <c r="D777" s="435" t="s">
        <v>97</v>
      </c>
      <c r="E777" s="436"/>
      <c r="F777" s="436">
        <v>500</v>
      </c>
      <c r="G777" s="173"/>
      <c r="H777" s="174">
        <f t="shared" si="10"/>
        <v>16130</v>
      </c>
      <c r="I777" s="435" t="s">
        <v>134</v>
      </c>
      <c r="J777" s="172" t="s">
        <v>730</v>
      </c>
      <c r="K777" s="176"/>
    </row>
    <row r="778" spans="1:11" ht="15.6">
      <c r="A778" s="434">
        <v>46108</v>
      </c>
      <c r="B778" s="172" t="s">
        <v>711</v>
      </c>
      <c r="C778" s="435" t="s">
        <v>337</v>
      </c>
      <c r="D778" s="435" t="s">
        <v>97</v>
      </c>
      <c r="E778" s="436"/>
      <c r="F778" s="436">
        <v>500</v>
      </c>
      <c r="G778" s="173"/>
      <c r="H778" s="174">
        <f t="shared" si="10"/>
        <v>15630</v>
      </c>
      <c r="I778" s="435" t="s">
        <v>134</v>
      </c>
      <c r="J778" s="172" t="s">
        <v>730</v>
      </c>
      <c r="K778" s="176"/>
    </row>
    <row r="779" spans="1:11" ht="15.6">
      <c r="A779" s="434">
        <v>46108</v>
      </c>
      <c r="B779" s="172" t="s">
        <v>712</v>
      </c>
      <c r="C779" s="435" t="s">
        <v>337</v>
      </c>
      <c r="D779" s="435" t="s">
        <v>97</v>
      </c>
      <c r="E779" s="436"/>
      <c r="F779" s="436">
        <v>500</v>
      </c>
      <c r="G779" s="173"/>
      <c r="H779" s="174">
        <f t="shared" si="10"/>
        <v>15130</v>
      </c>
      <c r="I779" s="435" t="s">
        <v>134</v>
      </c>
      <c r="J779" s="172" t="s">
        <v>730</v>
      </c>
      <c r="K779" s="176"/>
    </row>
    <row r="780" spans="1:11" ht="15.6">
      <c r="A780" s="434">
        <v>46108</v>
      </c>
      <c r="B780" s="172" t="s">
        <v>713</v>
      </c>
      <c r="C780" s="435" t="s">
        <v>337</v>
      </c>
      <c r="D780" s="435" t="s">
        <v>97</v>
      </c>
      <c r="E780" s="436"/>
      <c r="F780" s="436">
        <v>500</v>
      </c>
      <c r="G780" s="173"/>
      <c r="H780" s="174">
        <f t="shared" si="10"/>
        <v>14630</v>
      </c>
      <c r="I780" s="435" t="s">
        <v>134</v>
      </c>
      <c r="J780" s="172" t="s">
        <v>730</v>
      </c>
      <c r="K780" s="176"/>
    </row>
    <row r="781" spans="1:11" ht="15.6">
      <c r="A781" s="434">
        <v>46108</v>
      </c>
      <c r="B781" s="172" t="s">
        <v>714</v>
      </c>
      <c r="C781" s="172" t="s">
        <v>414</v>
      </c>
      <c r="D781" s="435" t="s">
        <v>97</v>
      </c>
      <c r="E781" s="436"/>
      <c r="F781" s="436">
        <v>1500</v>
      </c>
      <c r="G781" s="173"/>
      <c r="H781" s="174">
        <f t="shared" si="10"/>
        <v>13130</v>
      </c>
      <c r="I781" s="435" t="s">
        <v>134</v>
      </c>
      <c r="J781" s="172" t="s">
        <v>737</v>
      </c>
      <c r="K781" s="176"/>
    </row>
    <row r="782" spans="1:11" ht="15.6">
      <c r="A782" s="434">
        <v>46108</v>
      </c>
      <c r="B782" s="172" t="s">
        <v>704</v>
      </c>
      <c r="C782" s="172" t="s">
        <v>102</v>
      </c>
      <c r="D782" s="435" t="s">
        <v>97</v>
      </c>
      <c r="E782" s="436">
        <v>38500</v>
      </c>
      <c r="F782" s="437"/>
      <c r="G782" s="173"/>
      <c r="H782" s="174">
        <f t="shared" si="10"/>
        <v>51630</v>
      </c>
      <c r="I782" s="435" t="s">
        <v>134</v>
      </c>
      <c r="J782" s="172" t="s">
        <v>738</v>
      </c>
      <c r="K782" s="176"/>
    </row>
    <row r="783" spans="1:11" ht="15.6">
      <c r="A783" s="434">
        <v>46109</v>
      </c>
      <c r="B783" s="172" t="s">
        <v>715</v>
      </c>
      <c r="C783" s="435" t="s">
        <v>337</v>
      </c>
      <c r="D783" s="435" t="s">
        <v>97</v>
      </c>
      <c r="E783" s="436"/>
      <c r="F783" s="436">
        <v>500</v>
      </c>
      <c r="G783" s="173"/>
      <c r="H783" s="174">
        <f t="shared" si="10"/>
        <v>51130</v>
      </c>
      <c r="I783" s="435" t="s">
        <v>134</v>
      </c>
      <c r="J783" s="172" t="s">
        <v>730</v>
      </c>
      <c r="K783" s="176"/>
    </row>
    <row r="784" spans="1:11" ht="15.6">
      <c r="A784" s="434">
        <v>46109</v>
      </c>
      <c r="B784" s="172" t="s">
        <v>716</v>
      </c>
      <c r="C784" s="435" t="s">
        <v>337</v>
      </c>
      <c r="D784" s="435" t="s">
        <v>97</v>
      </c>
      <c r="E784" s="436"/>
      <c r="F784" s="436">
        <v>500</v>
      </c>
      <c r="G784" s="173"/>
      <c r="H784" s="174">
        <f t="shared" si="10"/>
        <v>50630</v>
      </c>
      <c r="I784" s="435" t="s">
        <v>134</v>
      </c>
      <c r="J784" s="172" t="s">
        <v>730</v>
      </c>
      <c r="K784" s="176"/>
    </row>
    <row r="785" spans="1:11" ht="15.6">
      <c r="A785" s="434">
        <v>46109</v>
      </c>
      <c r="B785" s="172" t="s">
        <v>717</v>
      </c>
      <c r="C785" s="435" t="s">
        <v>337</v>
      </c>
      <c r="D785" s="435" t="s">
        <v>97</v>
      </c>
      <c r="E785" s="436"/>
      <c r="F785" s="436">
        <v>500</v>
      </c>
      <c r="G785" s="173"/>
      <c r="H785" s="174">
        <f t="shared" si="10"/>
        <v>50130</v>
      </c>
      <c r="I785" s="435" t="s">
        <v>134</v>
      </c>
      <c r="J785" s="172" t="s">
        <v>730</v>
      </c>
      <c r="K785" s="176"/>
    </row>
    <row r="786" spans="1:11" ht="15.6">
      <c r="A786" s="434">
        <v>46109</v>
      </c>
      <c r="B786" s="172" t="s">
        <v>718</v>
      </c>
      <c r="C786" s="435" t="s">
        <v>706</v>
      </c>
      <c r="D786" s="435" t="s">
        <v>97</v>
      </c>
      <c r="E786" s="436"/>
      <c r="F786" s="436">
        <v>9000</v>
      </c>
      <c r="G786" s="173"/>
      <c r="H786" s="174">
        <f t="shared" si="10"/>
        <v>41130</v>
      </c>
      <c r="I786" s="435" t="s">
        <v>134</v>
      </c>
      <c r="J786" s="172" t="s">
        <v>739</v>
      </c>
      <c r="K786" s="176"/>
    </row>
    <row r="787" spans="1:11" ht="15.6">
      <c r="A787" s="434">
        <v>46109</v>
      </c>
      <c r="B787" s="172" t="s">
        <v>708</v>
      </c>
      <c r="C787" s="435" t="s">
        <v>337</v>
      </c>
      <c r="D787" s="435" t="s">
        <v>97</v>
      </c>
      <c r="E787" s="436"/>
      <c r="F787" s="436">
        <v>500</v>
      </c>
      <c r="G787" s="173"/>
      <c r="H787" s="174">
        <f t="shared" si="10"/>
        <v>40630</v>
      </c>
      <c r="I787" s="435" t="s">
        <v>134</v>
      </c>
      <c r="J787" s="172" t="s">
        <v>730</v>
      </c>
      <c r="K787" s="176"/>
    </row>
    <row r="788" spans="1:11" ht="15.6">
      <c r="A788" s="434">
        <v>46110</v>
      </c>
      <c r="B788" s="438" t="s">
        <v>719</v>
      </c>
      <c r="C788" s="438" t="s">
        <v>542</v>
      </c>
      <c r="D788" s="438" t="s">
        <v>97</v>
      </c>
      <c r="E788" s="436"/>
      <c r="F788" s="436">
        <v>30000</v>
      </c>
      <c r="G788" s="173"/>
      <c r="H788" s="174">
        <f t="shared" si="10"/>
        <v>10630</v>
      </c>
      <c r="I788" s="435" t="s">
        <v>134</v>
      </c>
      <c r="J788" s="172" t="s">
        <v>740</v>
      </c>
      <c r="K788" s="176"/>
    </row>
    <row r="789" spans="1:11" ht="15.6">
      <c r="A789" s="434">
        <v>46110</v>
      </c>
      <c r="B789" s="172" t="s">
        <v>720</v>
      </c>
      <c r="C789" s="435" t="s">
        <v>337</v>
      </c>
      <c r="D789" s="435" t="s">
        <v>97</v>
      </c>
      <c r="E789" s="436"/>
      <c r="F789" s="436">
        <v>500</v>
      </c>
      <c r="G789" s="173"/>
      <c r="H789" s="174">
        <f t="shared" si="10"/>
        <v>10130</v>
      </c>
      <c r="I789" s="435" t="s">
        <v>134</v>
      </c>
      <c r="J789" s="172" t="s">
        <v>730</v>
      </c>
      <c r="K789" s="176"/>
    </row>
    <row r="790" spans="1:11" ht="15.6">
      <c r="A790" s="434">
        <v>46110</v>
      </c>
      <c r="B790" s="124" t="s">
        <v>721</v>
      </c>
      <c r="C790" s="435" t="s">
        <v>337</v>
      </c>
      <c r="D790" s="435" t="s">
        <v>97</v>
      </c>
      <c r="E790" s="437"/>
      <c r="F790" s="437">
        <v>1500</v>
      </c>
      <c r="G790" s="173"/>
      <c r="H790" s="174">
        <f t="shared" si="10"/>
        <v>8630</v>
      </c>
      <c r="I790" s="435" t="s">
        <v>134</v>
      </c>
      <c r="J790" s="172" t="s">
        <v>730</v>
      </c>
      <c r="K790" s="176"/>
    </row>
    <row r="791" spans="1:11" ht="15.6">
      <c r="A791" s="434">
        <v>46111</v>
      </c>
      <c r="B791" s="124" t="s">
        <v>722</v>
      </c>
      <c r="C791" s="435" t="s">
        <v>337</v>
      </c>
      <c r="D791" s="435" t="s">
        <v>97</v>
      </c>
      <c r="E791" s="437"/>
      <c r="F791" s="437">
        <v>1000</v>
      </c>
      <c r="G791" s="173"/>
      <c r="H791" s="174">
        <f t="shared" si="10"/>
        <v>7630</v>
      </c>
      <c r="I791" s="435" t="s">
        <v>134</v>
      </c>
      <c r="J791" s="172" t="s">
        <v>730</v>
      </c>
      <c r="K791" s="176"/>
    </row>
    <row r="792" spans="1:11" ht="15.6">
      <c r="A792" s="434">
        <v>46111</v>
      </c>
      <c r="B792" s="124" t="s">
        <v>723</v>
      </c>
      <c r="C792" s="435" t="s">
        <v>337</v>
      </c>
      <c r="D792" s="435" t="s">
        <v>97</v>
      </c>
      <c r="E792" s="437"/>
      <c r="F792" s="437">
        <v>1000</v>
      </c>
      <c r="G792" s="173"/>
      <c r="H792" s="174">
        <f t="shared" si="10"/>
        <v>6630</v>
      </c>
      <c r="I792" s="435" t="s">
        <v>134</v>
      </c>
      <c r="J792" s="172" t="s">
        <v>730</v>
      </c>
      <c r="K792" s="176"/>
    </row>
    <row r="793" spans="1:11" ht="15.6">
      <c r="A793" s="434">
        <v>46111</v>
      </c>
      <c r="B793" s="172" t="s">
        <v>724</v>
      </c>
      <c r="C793" s="435" t="s">
        <v>706</v>
      </c>
      <c r="D793" s="435" t="s">
        <v>97</v>
      </c>
      <c r="E793" s="436"/>
      <c r="F793" s="436">
        <v>12000</v>
      </c>
      <c r="G793" s="173"/>
      <c r="H793" s="174">
        <f t="shared" si="10"/>
        <v>-5370</v>
      </c>
      <c r="I793" s="435" t="s">
        <v>134</v>
      </c>
      <c r="J793" s="172" t="s">
        <v>741</v>
      </c>
      <c r="K793" s="176"/>
    </row>
    <row r="794" spans="1:11" ht="15.6">
      <c r="A794" s="434">
        <v>46111</v>
      </c>
      <c r="B794" s="172" t="s">
        <v>704</v>
      </c>
      <c r="C794" s="172" t="s">
        <v>102</v>
      </c>
      <c r="D794" s="435" t="s">
        <v>97</v>
      </c>
      <c r="E794" s="436">
        <v>100000</v>
      </c>
      <c r="F794" s="437"/>
      <c r="G794" s="173"/>
      <c r="H794" s="174">
        <f t="shared" si="10"/>
        <v>94630</v>
      </c>
      <c r="I794" s="435" t="s">
        <v>134</v>
      </c>
      <c r="J794" s="172" t="s">
        <v>742</v>
      </c>
      <c r="K794" s="176"/>
    </row>
    <row r="795" spans="1:11" ht="15.6">
      <c r="A795" s="434">
        <v>46112</v>
      </c>
      <c r="B795" s="124" t="s">
        <v>725</v>
      </c>
      <c r="C795" s="435" t="s">
        <v>337</v>
      </c>
      <c r="D795" s="435" t="s">
        <v>97</v>
      </c>
      <c r="E795" s="437"/>
      <c r="F795" s="437">
        <v>1000</v>
      </c>
      <c r="G795" s="173"/>
      <c r="H795" s="174">
        <f t="shared" si="10"/>
        <v>93630</v>
      </c>
      <c r="I795" s="435" t="s">
        <v>134</v>
      </c>
      <c r="J795" s="172" t="s">
        <v>730</v>
      </c>
      <c r="K795" s="176"/>
    </row>
    <row r="796" spans="1:11" ht="15.6">
      <c r="A796" s="434">
        <v>46112</v>
      </c>
      <c r="B796" s="124" t="s">
        <v>726</v>
      </c>
      <c r="C796" s="435" t="s">
        <v>337</v>
      </c>
      <c r="D796" s="435" t="s">
        <v>97</v>
      </c>
      <c r="E796" s="437"/>
      <c r="F796" s="437">
        <v>500</v>
      </c>
      <c r="G796" s="173"/>
      <c r="H796" s="174">
        <f t="shared" si="10"/>
        <v>93130</v>
      </c>
      <c r="I796" s="435" t="s">
        <v>134</v>
      </c>
      <c r="J796" s="172" t="s">
        <v>730</v>
      </c>
      <c r="K796" s="176"/>
    </row>
    <row r="797" spans="1:11" ht="15.6">
      <c r="A797" s="434">
        <v>46112</v>
      </c>
      <c r="B797" s="438" t="s">
        <v>727</v>
      </c>
      <c r="C797" s="438" t="s">
        <v>542</v>
      </c>
      <c r="D797" s="438" t="s">
        <v>97</v>
      </c>
      <c r="E797" s="436"/>
      <c r="F797" s="436">
        <v>50000</v>
      </c>
      <c r="G797" s="173"/>
      <c r="H797" s="174">
        <f t="shared" si="10"/>
        <v>43130</v>
      </c>
      <c r="I797" s="435" t="s">
        <v>134</v>
      </c>
      <c r="J797" s="172" t="s">
        <v>743</v>
      </c>
      <c r="K797" s="176"/>
    </row>
    <row r="798" spans="1:11" ht="15.6">
      <c r="A798" s="178"/>
      <c r="B798" s="176"/>
      <c r="C798" s="176"/>
      <c r="D798" s="176"/>
      <c r="E798" s="180">
        <f>SUM(E756:E797)</f>
        <v>341070</v>
      </c>
      <c r="F798" s="180">
        <f>SUM(F756:F797)</f>
        <v>311070</v>
      </c>
      <c r="G798" s="180"/>
      <c r="H798" s="181">
        <f>+E798-F798+H755</f>
        <v>43130</v>
      </c>
      <c r="I798" s="176"/>
      <c r="J798" s="176"/>
      <c r="K798" s="176"/>
    </row>
    <row r="799" spans="1:11" ht="15.6">
      <c r="A799" s="178"/>
      <c r="B799" s="176"/>
      <c r="C799" s="179" t="s">
        <v>156</v>
      </c>
      <c r="D799" s="176"/>
      <c r="E799" s="180"/>
      <c r="F799" s="180"/>
      <c r="G799" s="180"/>
      <c r="H799" s="181"/>
      <c r="I799" s="176"/>
      <c r="J799" s="176"/>
      <c r="K799" s="176"/>
    </row>
    <row r="800" spans="1:11" ht="15.6">
      <c r="A800" s="178"/>
      <c r="B800" s="176"/>
      <c r="C800" s="176"/>
      <c r="D800" s="176"/>
      <c r="E800" s="180"/>
      <c r="F800" s="180"/>
      <c r="G800" s="180"/>
      <c r="H800" s="181"/>
      <c r="I800" s="176"/>
      <c r="J800" s="176"/>
      <c r="K800" s="176"/>
    </row>
    <row r="801" spans="1:11" ht="15.6">
      <c r="A801" s="182" t="s">
        <v>0</v>
      </c>
      <c r="B801" s="183" t="s">
        <v>141</v>
      </c>
      <c r="C801" s="183" t="s">
        <v>142</v>
      </c>
      <c r="D801" s="183" t="s">
        <v>143</v>
      </c>
      <c r="E801" s="184" t="s">
        <v>144</v>
      </c>
      <c r="F801" s="184" t="s">
        <v>145</v>
      </c>
      <c r="G801" s="184"/>
      <c r="H801" s="185" t="s">
        <v>30</v>
      </c>
      <c r="I801" s="183" t="s">
        <v>146</v>
      </c>
      <c r="J801" s="183" t="s">
        <v>147</v>
      </c>
      <c r="K801" s="186"/>
    </row>
    <row r="802" spans="1:11" ht="15.6">
      <c r="A802" s="140">
        <v>46082</v>
      </c>
      <c r="B802" s="124" t="s">
        <v>857</v>
      </c>
      <c r="C802" s="193"/>
      <c r="D802" s="172" t="s">
        <v>100</v>
      </c>
      <c r="E802" s="192"/>
      <c r="F802" s="192"/>
      <c r="G802" s="192"/>
      <c r="H802" s="158">
        <v>14650</v>
      </c>
      <c r="I802" s="177" t="s">
        <v>129</v>
      </c>
      <c r="J802" s="177"/>
      <c r="K802" s="176"/>
    </row>
    <row r="803" spans="1:11" ht="15.6">
      <c r="A803" s="212">
        <v>46085</v>
      </c>
      <c r="B803" s="410" t="s">
        <v>744</v>
      </c>
      <c r="C803" s="411" t="s">
        <v>110</v>
      </c>
      <c r="D803" s="439" t="s">
        <v>100</v>
      </c>
      <c r="E803" s="337">
        <v>3000</v>
      </c>
      <c r="F803" s="337"/>
      <c r="G803" s="192"/>
      <c r="H803" s="158">
        <f>+H802+E803-F803</f>
        <v>17650</v>
      </c>
      <c r="I803" s="75" t="s">
        <v>129</v>
      </c>
      <c r="J803" s="75" t="s">
        <v>786</v>
      </c>
      <c r="K803" s="176"/>
    </row>
    <row r="804" spans="1:11" ht="15.6">
      <c r="A804" s="212">
        <v>46085</v>
      </c>
      <c r="B804" s="410" t="s">
        <v>744</v>
      </c>
      <c r="C804" s="411" t="s">
        <v>110</v>
      </c>
      <c r="D804" s="439" t="s">
        <v>100</v>
      </c>
      <c r="E804" s="337"/>
      <c r="F804" s="337">
        <v>3000</v>
      </c>
      <c r="G804" s="192"/>
      <c r="H804" s="158">
        <f t="shared" ref="H804:H867" si="11">+H803+E804-F804</f>
        <v>14650</v>
      </c>
      <c r="I804" s="75" t="s">
        <v>129</v>
      </c>
      <c r="J804" s="75" t="s">
        <v>786</v>
      </c>
      <c r="K804" s="176"/>
    </row>
    <row r="805" spans="1:11" ht="15.6">
      <c r="A805" s="425">
        <v>46090</v>
      </c>
      <c r="B805" s="410" t="s">
        <v>745</v>
      </c>
      <c r="C805" s="411" t="s">
        <v>104</v>
      </c>
      <c r="D805" s="439" t="s">
        <v>100</v>
      </c>
      <c r="E805" s="94">
        <v>132280</v>
      </c>
      <c r="F805" s="337"/>
      <c r="G805" s="192"/>
      <c r="H805" s="158">
        <f t="shared" si="11"/>
        <v>146930</v>
      </c>
      <c r="I805" s="75" t="s">
        <v>129</v>
      </c>
      <c r="J805" s="75" t="s">
        <v>787</v>
      </c>
      <c r="K805" s="176"/>
    </row>
    <row r="806" spans="1:11" ht="15.6">
      <c r="A806" s="425">
        <v>46090</v>
      </c>
      <c r="B806" s="410" t="s">
        <v>745</v>
      </c>
      <c r="C806" s="411" t="s">
        <v>104</v>
      </c>
      <c r="D806" s="439" t="s">
        <v>100</v>
      </c>
      <c r="E806" s="337"/>
      <c r="F806" s="94">
        <v>132280</v>
      </c>
      <c r="G806" s="192"/>
      <c r="H806" s="158">
        <f t="shared" si="11"/>
        <v>14650</v>
      </c>
      <c r="I806" s="75" t="s">
        <v>129</v>
      </c>
      <c r="J806" s="75" t="s">
        <v>787</v>
      </c>
      <c r="K806" s="176"/>
    </row>
    <row r="807" spans="1:11" ht="15.6">
      <c r="A807" s="212">
        <v>46091</v>
      </c>
      <c r="B807" s="410" t="s">
        <v>746</v>
      </c>
      <c r="C807" s="411" t="s">
        <v>110</v>
      </c>
      <c r="D807" s="439" t="s">
        <v>100</v>
      </c>
      <c r="E807" s="94">
        <v>7500</v>
      </c>
      <c r="F807" s="337"/>
      <c r="G807" s="192"/>
      <c r="H807" s="158">
        <f t="shared" si="11"/>
        <v>22150</v>
      </c>
      <c r="I807" s="75" t="s">
        <v>129</v>
      </c>
      <c r="J807" s="75" t="s">
        <v>788</v>
      </c>
      <c r="K807" s="176"/>
    </row>
    <row r="808" spans="1:11" ht="15.6">
      <c r="A808" s="212">
        <v>46091</v>
      </c>
      <c r="B808" s="410" t="s">
        <v>746</v>
      </c>
      <c r="C808" s="411" t="s">
        <v>110</v>
      </c>
      <c r="D808" s="439" t="s">
        <v>100</v>
      </c>
      <c r="E808" s="337"/>
      <c r="F808" s="337">
        <v>7500</v>
      </c>
      <c r="G808" s="192"/>
      <c r="H808" s="158">
        <f t="shared" si="11"/>
        <v>14650</v>
      </c>
      <c r="I808" s="75" t="s">
        <v>129</v>
      </c>
      <c r="J808" s="75" t="s">
        <v>788</v>
      </c>
      <c r="K808" s="176"/>
    </row>
    <row r="809" spans="1:11" ht="15.6">
      <c r="A809" s="425">
        <v>46094</v>
      </c>
      <c r="B809" s="170" t="s">
        <v>747</v>
      </c>
      <c r="C809" s="124" t="s">
        <v>748</v>
      </c>
      <c r="D809" s="439" t="s">
        <v>100</v>
      </c>
      <c r="E809" s="94">
        <v>6000</v>
      </c>
      <c r="F809" s="337"/>
      <c r="G809" s="192"/>
      <c r="H809" s="158">
        <f t="shared" si="11"/>
        <v>20650</v>
      </c>
      <c r="I809" s="75" t="s">
        <v>129</v>
      </c>
      <c r="J809" s="75" t="s">
        <v>789</v>
      </c>
      <c r="K809" s="176"/>
    </row>
    <row r="810" spans="1:11" ht="15.6">
      <c r="A810" s="425">
        <v>46094</v>
      </c>
      <c r="B810" s="170" t="s">
        <v>749</v>
      </c>
      <c r="C810" s="124" t="s">
        <v>748</v>
      </c>
      <c r="D810" s="439" t="s">
        <v>100</v>
      </c>
      <c r="E810" s="94">
        <v>6000</v>
      </c>
      <c r="F810" s="337"/>
      <c r="G810" s="192"/>
      <c r="H810" s="158">
        <f t="shared" si="11"/>
        <v>26650</v>
      </c>
      <c r="I810" s="75" t="s">
        <v>129</v>
      </c>
      <c r="J810" s="75" t="s">
        <v>789</v>
      </c>
      <c r="K810" s="176"/>
    </row>
    <row r="811" spans="1:11" ht="15.6">
      <c r="A811" s="425">
        <v>46094</v>
      </c>
      <c r="B811" s="170" t="s">
        <v>750</v>
      </c>
      <c r="C811" s="124" t="s">
        <v>748</v>
      </c>
      <c r="D811" s="439" t="s">
        <v>100</v>
      </c>
      <c r="E811" s="94">
        <v>6000</v>
      </c>
      <c r="F811" s="337"/>
      <c r="G811" s="192"/>
      <c r="H811" s="158">
        <f t="shared" si="11"/>
        <v>32650</v>
      </c>
      <c r="I811" s="75" t="s">
        <v>129</v>
      </c>
      <c r="J811" s="75" t="s">
        <v>789</v>
      </c>
      <c r="K811" s="176"/>
    </row>
    <row r="812" spans="1:11" ht="15.6">
      <c r="A812" s="425">
        <v>46094</v>
      </c>
      <c r="B812" s="170" t="s">
        <v>751</v>
      </c>
      <c r="C812" s="124" t="s">
        <v>748</v>
      </c>
      <c r="D812" s="439" t="s">
        <v>100</v>
      </c>
      <c r="E812" s="94">
        <v>6000</v>
      </c>
      <c r="F812" s="337"/>
      <c r="G812" s="192"/>
      <c r="H812" s="158">
        <f t="shared" si="11"/>
        <v>38650</v>
      </c>
      <c r="I812" s="75" t="s">
        <v>129</v>
      </c>
      <c r="J812" s="75" t="s">
        <v>789</v>
      </c>
      <c r="K812" s="176"/>
    </row>
    <row r="813" spans="1:11" ht="15.6">
      <c r="A813" s="425">
        <v>46094</v>
      </c>
      <c r="B813" s="170" t="s">
        <v>752</v>
      </c>
      <c r="C813" s="124" t="s">
        <v>748</v>
      </c>
      <c r="D813" s="439" t="s">
        <v>100</v>
      </c>
      <c r="E813" s="94">
        <v>6000</v>
      </c>
      <c r="F813" s="337"/>
      <c r="G813" s="192"/>
      <c r="H813" s="158">
        <f t="shared" si="11"/>
        <v>44650</v>
      </c>
      <c r="I813" s="75" t="s">
        <v>129</v>
      </c>
      <c r="J813" s="75" t="s">
        <v>789</v>
      </c>
      <c r="K813" s="176"/>
    </row>
    <row r="814" spans="1:11" ht="15.6">
      <c r="A814" s="425">
        <v>46094</v>
      </c>
      <c r="B814" s="170" t="s">
        <v>753</v>
      </c>
      <c r="C814" s="124" t="s">
        <v>748</v>
      </c>
      <c r="D814" s="439" t="s">
        <v>100</v>
      </c>
      <c r="E814" s="94">
        <v>6000</v>
      </c>
      <c r="F814" s="337"/>
      <c r="G814" s="192"/>
      <c r="H814" s="158">
        <f t="shared" si="11"/>
        <v>50650</v>
      </c>
      <c r="I814" s="75" t="s">
        <v>129</v>
      </c>
      <c r="J814" s="75" t="s">
        <v>789</v>
      </c>
      <c r="K814" s="176"/>
    </row>
    <row r="815" spans="1:11" ht="15.6">
      <c r="A815" s="425">
        <v>46094</v>
      </c>
      <c r="B815" s="170" t="s">
        <v>754</v>
      </c>
      <c r="C815" s="124" t="s">
        <v>748</v>
      </c>
      <c r="D815" s="439" t="s">
        <v>100</v>
      </c>
      <c r="E815" s="94">
        <v>6000</v>
      </c>
      <c r="F815" s="337"/>
      <c r="G815" s="192"/>
      <c r="H815" s="158">
        <f t="shared" si="11"/>
        <v>56650</v>
      </c>
      <c r="I815" s="75" t="s">
        <v>129</v>
      </c>
      <c r="J815" s="75" t="s">
        <v>789</v>
      </c>
      <c r="K815" s="176"/>
    </row>
    <row r="816" spans="1:11" ht="15.6">
      <c r="A816" s="425">
        <v>46094</v>
      </c>
      <c r="B816" s="170" t="s">
        <v>755</v>
      </c>
      <c r="C816" s="124" t="s">
        <v>748</v>
      </c>
      <c r="D816" s="439" t="s">
        <v>100</v>
      </c>
      <c r="E816" s="94">
        <v>6000</v>
      </c>
      <c r="F816" s="337"/>
      <c r="G816" s="192"/>
      <c r="H816" s="158">
        <f t="shared" si="11"/>
        <v>62650</v>
      </c>
      <c r="I816" s="75" t="s">
        <v>129</v>
      </c>
      <c r="J816" s="75" t="s">
        <v>789</v>
      </c>
      <c r="K816" s="176"/>
    </row>
    <row r="817" spans="1:11" ht="15.6">
      <c r="A817" s="425">
        <v>46094</v>
      </c>
      <c r="B817" s="170" t="s">
        <v>756</v>
      </c>
      <c r="C817" s="124" t="s">
        <v>748</v>
      </c>
      <c r="D817" s="439" t="s">
        <v>100</v>
      </c>
      <c r="E817" s="94">
        <v>6000</v>
      </c>
      <c r="F817" s="337"/>
      <c r="G817" s="192"/>
      <c r="H817" s="158">
        <f t="shared" si="11"/>
        <v>68650</v>
      </c>
      <c r="I817" s="75" t="s">
        <v>129</v>
      </c>
      <c r="J817" s="75" t="s">
        <v>789</v>
      </c>
      <c r="K817" s="176"/>
    </row>
    <row r="818" spans="1:11" ht="15.6">
      <c r="A818" s="425">
        <v>46094</v>
      </c>
      <c r="B818" s="170" t="s">
        <v>757</v>
      </c>
      <c r="C818" s="124" t="s">
        <v>748</v>
      </c>
      <c r="D818" s="439" t="s">
        <v>100</v>
      </c>
      <c r="E818" s="94">
        <v>6000</v>
      </c>
      <c r="F818" s="337"/>
      <c r="G818" s="192"/>
      <c r="H818" s="158">
        <f t="shared" si="11"/>
        <v>74650</v>
      </c>
      <c r="I818" s="75" t="s">
        <v>129</v>
      </c>
      <c r="J818" s="75" t="s">
        <v>789</v>
      </c>
      <c r="K818" s="176"/>
    </row>
    <row r="819" spans="1:11" ht="15.6">
      <c r="A819" s="425">
        <v>46094</v>
      </c>
      <c r="B819" s="170" t="s">
        <v>758</v>
      </c>
      <c r="C819" s="124" t="s">
        <v>748</v>
      </c>
      <c r="D819" s="439" t="s">
        <v>100</v>
      </c>
      <c r="E819" s="94">
        <v>6000</v>
      </c>
      <c r="F819" s="337"/>
      <c r="G819" s="192"/>
      <c r="H819" s="158">
        <f t="shared" si="11"/>
        <v>80650</v>
      </c>
      <c r="I819" s="75" t="s">
        <v>129</v>
      </c>
      <c r="J819" s="75" t="s">
        <v>789</v>
      </c>
      <c r="K819" s="176"/>
    </row>
    <row r="820" spans="1:11" ht="15.6">
      <c r="A820" s="425">
        <v>46094</v>
      </c>
      <c r="B820" s="170" t="s">
        <v>759</v>
      </c>
      <c r="C820" s="124" t="s">
        <v>748</v>
      </c>
      <c r="D820" s="439" t="s">
        <v>100</v>
      </c>
      <c r="E820" s="94">
        <v>6000</v>
      </c>
      <c r="F820" s="337"/>
      <c r="G820" s="192"/>
      <c r="H820" s="158">
        <f t="shared" si="11"/>
        <v>86650</v>
      </c>
      <c r="I820" s="75" t="s">
        <v>129</v>
      </c>
      <c r="J820" s="75" t="s">
        <v>789</v>
      </c>
      <c r="K820" s="176"/>
    </row>
    <row r="821" spans="1:11" ht="15.6">
      <c r="A821" s="425">
        <v>46094</v>
      </c>
      <c r="B821" s="170" t="s">
        <v>760</v>
      </c>
      <c r="C821" s="124" t="s">
        <v>748</v>
      </c>
      <c r="D821" s="439" t="s">
        <v>100</v>
      </c>
      <c r="E821" s="94">
        <v>6000</v>
      </c>
      <c r="F821" s="337"/>
      <c r="G821" s="192"/>
      <c r="H821" s="158">
        <f t="shared" si="11"/>
        <v>92650</v>
      </c>
      <c r="I821" s="75" t="s">
        <v>129</v>
      </c>
      <c r="J821" s="75" t="s">
        <v>789</v>
      </c>
      <c r="K821" s="176"/>
    </row>
    <row r="822" spans="1:11" ht="15.6">
      <c r="A822" s="425">
        <v>46094</v>
      </c>
      <c r="B822" s="170" t="s">
        <v>761</v>
      </c>
      <c r="C822" s="124" t="s">
        <v>748</v>
      </c>
      <c r="D822" s="439" t="s">
        <v>100</v>
      </c>
      <c r="E822" s="94">
        <v>6000</v>
      </c>
      <c r="F822" s="337"/>
      <c r="G822" s="192"/>
      <c r="H822" s="158">
        <f t="shared" si="11"/>
        <v>98650</v>
      </c>
      <c r="I822" s="75" t="s">
        <v>129</v>
      </c>
      <c r="J822" s="75" t="s">
        <v>789</v>
      </c>
      <c r="K822" s="176"/>
    </row>
    <row r="823" spans="1:11" ht="15.6">
      <c r="A823" s="425">
        <v>46094</v>
      </c>
      <c r="B823" s="124" t="s">
        <v>762</v>
      </c>
      <c r="C823" s="124" t="s">
        <v>748</v>
      </c>
      <c r="D823" s="439" t="s">
        <v>100</v>
      </c>
      <c r="E823" s="94">
        <v>10000</v>
      </c>
      <c r="F823" s="337"/>
      <c r="G823" s="192"/>
      <c r="H823" s="158">
        <f t="shared" si="11"/>
        <v>108650</v>
      </c>
      <c r="I823" s="75" t="s">
        <v>129</v>
      </c>
      <c r="J823" s="75" t="s">
        <v>790</v>
      </c>
      <c r="K823" s="176"/>
    </row>
    <row r="824" spans="1:11" ht="15.6">
      <c r="A824" s="425">
        <v>46094</v>
      </c>
      <c r="B824" s="124" t="s">
        <v>763</v>
      </c>
      <c r="C824" s="124" t="s">
        <v>748</v>
      </c>
      <c r="D824" s="439" t="s">
        <v>100</v>
      </c>
      <c r="E824" s="94">
        <v>10000</v>
      </c>
      <c r="F824" s="337"/>
      <c r="G824" s="192"/>
      <c r="H824" s="158">
        <f t="shared" si="11"/>
        <v>118650</v>
      </c>
      <c r="I824" s="75" t="s">
        <v>129</v>
      </c>
      <c r="J824" s="75" t="s">
        <v>790</v>
      </c>
      <c r="K824" s="176"/>
    </row>
    <row r="825" spans="1:11" ht="15.6">
      <c r="A825" s="425">
        <v>46094</v>
      </c>
      <c r="B825" s="124" t="s">
        <v>764</v>
      </c>
      <c r="C825" s="124" t="s">
        <v>748</v>
      </c>
      <c r="D825" s="439" t="s">
        <v>100</v>
      </c>
      <c r="E825" s="94">
        <v>10000</v>
      </c>
      <c r="F825" s="337"/>
      <c r="G825" s="192"/>
      <c r="H825" s="158">
        <f t="shared" si="11"/>
        <v>128650</v>
      </c>
      <c r="I825" s="75" t="s">
        <v>129</v>
      </c>
      <c r="J825" s="75" t="s">
        <v>790</v>
      </c>
      <c r="K825" s="176"/>
    </row>
    <row r="826" spans="1:11" ht="15.6">
      <c r="A826" s="425">
        <v>46094</v>
      </c>
      <c r="B826" s="124" t="s">
        <v>765</v>
      </c>
      <c r="C826" s="124" t="s">
        <v>748</v>
      </c>
      <c r="D826" s="439" t="s">
        <v>100</v>
      </c>
      <c r="E826" s="94">
        <v>10000</v>
      </c>
      <c r="F826" s="337"/>
      <c r="G826" s="192"/>
      <c r="H826" s="158">
        <f t="shared" si="11"/>
        <v>138650</v>
      </c>
      <c r="I826" s="75" t="s">
        <v>129</v>
      </c>
      <c r="J826" s="75" t="s">
        <v>790</v>
      </c>
      <c r="K826" s="176"/>
    </row>
    <row r="827" spans="1:11" ht="15.6">
      <c r="A827" s="425">
        <v>46094</v>
      </c>
      <c r="B827" s="124" t="s">
        <v>766</v>
      </c>
      <c r="C827" s="124" t="s">
        <v>748</v>
      </c>
      <c r="D827" s="439" t="s">
        <v>100</v>
      </c>
      <c r="E827" s="94">
        <v>6000</v>
      </c>
      <c r="F827" s="337"/>
      <c r="G827" s="192"/>
      <c r="H827" s="158">
        <f t="shared" si="11"/>
        <v>144650</v>
      </c>
      <c r="I827" s="75" t="s">
        <v>129</v>
      </c>
      <c r="J827" s="75" t="s">
        <v>791</v>
      </c>
      <c r="K827" s="176"/>
    </row>
    <row r="828" spans="1:11" ht="15.6">
      <c r="A828" s="425">
        <v>46094</v>
      </c>
      <c r="B828" s="124" t="s">
        <v>767</v>
      </c>
      <c r="C828" s="124" t="s">
        <v>748</v>
      </c>
      <c r="D828" s="439" t="s">
        <v>100</v>
      </c>
      <c r="E828" s="94">
        <v>18000</v>
      </c>
      <c r="F828" s="337"/>
      <c r="G828" s="192"/>
      <c r="H828" s="158">
        <f t="shared" si="11"/>
        <v>162650</v>
      </c>
      <c r="I828" s="75" t="s">
        <v>129</v>
      </c>
      <c r="J828" s="75" t="s">
        <v>791</v>
      </c>
      <c r="K828" s="176"/>
    </row>
    <row r="829" spans="1:11" ht="15.6">
      <c r="A829" s="425">
        <v>46094</v>
      </c>
      <c r="B829" s="170" t="s">
        <v>747</v>
      </c>
      <c r="C829" s="124" t="s">
        <v>748</v>
      </c>
      <c r="D829" s="439" t="s">
        <v>100</v>
      </c>
      <c r="E829" s="337"/>
      <c r="F829" s="94">
        <v>6000</v>
      </c>
      <c r="G829" s="192"/>
      <c r="H829" s="158">
        <f t="shared" si="11"/>
        <v>156650</v>
      </c>
      <c r="I829" s="75" t="s">
        <v>129</v>
      </c>
      <c r="J829" s="75" t="s">
        <v>789</v>
      </c>
      <c r="K829" s="176"/>
    </row>
    <row r="830" spans="1:11" ht="15.6">
      <c r="A830" s="425">
        <v>46094</v>
      </c>
      <c r="B830" s="170" t="s">
        <v>749</v>
      </c>
      <c r="C830" s="124" t="s">
        <v>748</v>
      </c>
      <c r="D830" s="439" t="s">
        <v>100</v>
      </c>
      <c r="E830" s="337"/>
      <c r="F830" s="94">
        <v>6000</v>
      </c>
      <c r="G830" s="192"/>
      <c r="H830" s="158">
        <f t="shared" si="11"/>
        <v>150650</v>
      </c>
      <c r="I830" s="75" t="s">
        <v>129</v>
      </c>
      <c r="J830" s="75" t="s">
        <v>789</v>
      </c>
      <c r="K830" s="176"/>
    </row>
    <row r="831" spans="1:11" ht="15.6">
      <c r="A831" s="425">
        <v>46094</v>
      </c>
      <c r="B831" s="170" t="s">
        <v>750</v>
      </c>
      <c r="C831" s="124" t="s">
        <v>748</v>
      </c>
      <c r="D831" s="439" t="s">
        <v>100</v>
      </c>
      <c r="E831" s="337"/>
      <c r="F831" s="94">
        <v>6000</v>
      </c>
      <c r="G831" s="192"/>
      <c r="H831" s="158">
        <f t="shared" si="11"/>
        <v>144650</v>
      </c>
      <c r="I831" s="75" t="s">
        <v>129</v>
      </c>
      <c r="J831" s="75" t="s">
        <v>789</v>
      </c>
      <c r="K831" s="176"/>
    </row>
    <row r="832" spans="1:11" ht="15.6">
      <c r="A832" s="425">
        <v>46094</v>
      </c>
      <c r="B832" s="170" t="s">
        <v>751</v>
      </c>
      <c r="C832" s="124" t="s">
        <v>748</v>
      </c>
      <c r="D832" s="439" t="s">
        <v>100</v>
      </c>
      <c r="E832" s="337"/>
      <c r="F832" s="94">
        <v>6000</v>
      </c>
      <c r="G832" s="192"/>
      <c r="H832" s="158">
        <f t="shared" si="11"/>
        <v>138650</v>
      </c>
      <c r="I832" s="75" t="s">
        <v>129</v>
      </c>
      <c r="J832" s="75" t="s">
        <v>789</v>
      </c>
      <c r="K832" s="176"/>
    </row>
    <row r="833" spans="1:11" ht="15.6">
      <c r="A833" s="425">
        <v>46094</v>
      </c>
      <c r="B833" s="170" t="s">
        <v>752</v>
      </c>
      <c r="C833" s="124" t="s">
        <v>748</v>
      </c>
      <c r="D833" s="439" t="s">
        <v>100</v>
      </c>
      <c r="E833" s="337"/>
      <c r="F833" s="94">
        <v>6000</v>
      </c>
      <c r="G833" s="192"/>
      <c r="H833" s="158">
        <f t="shared" si="11"/>
        <v>132650</v>
      </c>
      <c r="I833" s="75" t="s">
        <v>129</v>
      </c>
      <c r="J833" s="75" t="s">
        <v>789</v>
      </c>
      <c r="K833" s="176"/>
    </row>
    <row r="834" spans="1:11" ht="15.6">
      <c r="A834" s="425">
        <v>46094</v>
      </c>
      <c r="B834" s="170" t="s">
        <v>753</v>
      </c>
      <c r="C834" s="124" t="s">
        <v>748</v>
      </c>
      <c r="D834" s="439" t="s">
        <v>100</v>
      </c>
      <c r="E834" s="337"/>
      <c r="F834" s="94">
        <v>6000</v>
      </c>
      <c r="G834" s="192"/>
      <c r="H834" s="158">
        <f t="shared" si="11"/>
        <v>126650</v>
      </c>
      <c r="I834" s="75" t="s">
        <v>129</v>
      </c>
      <c r="J834" s="75" t="s">
        <v>789</v>
      </c>
      <c r="K834" s="176"/>
    </row>
    <row r="835" spans="1:11" ht="15.6">
      <c r="A835" s="425">
        <v>46094</v>
      </c>
      <c r="B835" s="170" t="s">
        <v>754</v>
      </c>
      <c r="C835" s="124" t="s">
        <v>748</v>
      </c>
      <c r="D835" s="439" t="s">
        <v>100</v>
      </c>
      <c r="E835" s="337"/>
      <c r="F835" s="94">
        <v>6000</v>
      </c>
      <c r="G835" s="192"/>
      <c r="H835" s="158">
        <f t="shared" si="11"/>
        <v>120650</v>
      </c>
      <c r="I835" s="75" t="s">
        <v>129</v>
      </c>
      <c r="J835" s="75" t="s">
        <v>789</v>
      </c>
      <c r="K835" s="176"/>
    </row>
    <row r="836" spans="1:11" ht="15.6">
      <c r="A836" s="425">
        <v>46094</v>
      </c>
      <c r="B836" s="170" t="s">
        <v>755</v>
      </c>
      <c r="C836" s="124" t="s">
        <v>748</v>
      </c>
      <c r="D836" s="439" t="s">
        <v>100</v>
      </c>
      <c r="E836" s="337"/>
      <c r="F836" s="94">
        <v>6000</v>
      </c>
      <c r="G836" s="192"/>
      <c r="H836" s="158">
        <f t="shared" si="11"/>
        <v>114650</v>
      </c>
      <c r="I836" s="75" t="s">
        <v>129</v>
      </c>
      <c r="J836" s="75" t="s">
        <v>789</v>
      </c>
      <c r="K836" s="176"/>
    </row>
    <row r="837" spans="1:11" ht="15.6">
      <c r="A837" s="425">
        <v>46094</v>
      </c>
      <c r="B837" s="170" t="s">
        <v>756</v>
      </c>
      <c r="C837" s="124" t="s">
        <v>748</v>
      </c>
      <c r="D837" s="439" t="s">
        <v>100</v>
      </c>
      <c r="E837" s="337"/>
      <c r="F837" s="94">
        <v>6000</v>
      </c>
      <c r="G837" s="192"/>
      <c r="H837" s="158">
        <f t="shared" si="11"/>
        <v>108650</v>
      </c>
      <c r="I837" s="75" t="s">
        <v>129</v>
      </c>
      <c r="J837" s="75" t="s">
        <v>789</v>
      </c>
      <c r="K837" s="176"/>
    </row>
    <row r="838" spans="1:11" ht="15.6">
      <c r="A838" s="425">
        <v>46094</v>
      </c>
      <c r="B838" s="170" t="s">
        <v>757</v>
      </c>
      <c r="C838" s="124" t="s">
        <v>748</v>
      </c>
      <c r="D838" s="439" t="s">
        <v>100</v>
      </c>
      <c r="E838" s="337"/>
      <c r="F838" s="94">
        <v>6000</v>
      </c>
      <c r="G838" s="192"/>
      <c r="H838" s="158">
        <f t="shared" si="11"/>
        <v>102650</v>
      </c>
      <c r="I838" s="75" t="s">
        <v>129</v>
      </c>
      <c r="J838" s="75" t="s">
        <v>789</v>
      </c>
      <c r="K838" s="176"/>
    </row>
    <row r="839" spans="1:11" ht="15.6">
      <c r="A839" s="425">
        <v>46094</v>
      </c>
      <c r="B839" s="170" t="s">
        <v>758</v>
      </c>
      <c r="C839" s="124" t="s">
        <v>748</v>
      </c>
      <c r="D839" s="439" t="s">
        <v>100</v>
      </c>
      <c r="E839" s="337"/>
      <c r="F839" s="94">
        <v>6000</v>
      </c>
      <c r="G839" s="192"/>
      <c r="H839" s="158">
        <f t="shared" si="11"/>
        <v>96650</v>
      </c>
      <c r="I839" s="75" t="s">
        <v>129</v>
      </c>
      <c r="J839" s="75" t="s">
        <v>789</v>
      </c>
      <c r="K839" s="176"/>
    </row>
    <row r="840" spans="1:11" ht="15.6">
      <c r="A840" s="425">
        <v>46094</v>
      </c>
      <c r="B840" s="170" t="s">
        <v>759</v>
      </c>
      <c r="C840" s="124" t="s">
        <v>748</v>
      </c>
      <c r="D840" s="439" t="s">
        <v>100</v>
      </c>
      <c r="E840" s="337"/>
      <c r="F840" s="94">
        <v>6000</v>
      </c>
      <c r="G840" s="192"/>
      <c r="H840" s="158">
        <f t="shared" si="11"/>
        <v>90650</v>
      </c>
      <c r="I840" s="75" t="s">
        <v>129</v>
      </c>
      <c r="J840" s="75" t="s">
        <v>789</v>
      </c>
      <c r="K840" s="176"/>
    </row>
    <row r="841" spans="1:11" ht="15.6">
      <c r="A841" s="425">
        <v>46094</v>
      </c>
      <c r="B841" s="170" t="s">
        <v>760</v>
      </c>
      <c r="C841" s="124" t="s">
        <v>748</v>
      </c>
      <c r="D841" s="439" t="s">
        <v>100</v>
      </c>
      <c r="E841" s="337"/>
      <c r="F841" s="94">
        <v>6000</v>
      </c>
      <c r="G841" s="192"/>
      <c r="H841" s="158">
        <f t="shared" si="11"/>
        <v>84650</v>
      </c>
      <c r="I841" s="75" t="s">
        <v>129</v>
      </c>
      <c r="J841" s="75" t="s">
        <v>789</v>
      </c>
      <c r="K841" s="176"/>
    </row>
    <row r="842" spans="1:11" ht="15.6">
      <c r="A842" s="425">
        <v>46094</v>
      </c>
      <c r="B842" s="170" t="s">
        <v>761</v>
      </c>
      <c r="C842" s="124" t="s">
        <v>748</v>
      </c>
      <c r="D842" s="439" t="s">
        <v>100</v>
      </c>
      <c r="E842" s="337"/>
      <c r="F842" s="94">
        <v>6000</v>
      </c>
      <c r="G842" s="192"/>
      <c r="H842" s="158">
        <f t="shared" si="11"/>
        <v>78650</v>
      </c>
      <c r="I842" s="75" t="s">
        <v>129</v>
      </c>
      <c r="J842" s="75" t="s">
        <v>789</v>
      </c>
      <c r="K842" s="176"/>
    </row>
    <row r="843" spans="1:11" ht="15.6">
      <c r="A843" s="425">
        <v>46094</v>
      </c>
      <c r="B843" s="124" t="s">
        <v>762</v>
      </c>
      <c r="C843" s="124" t="s">
        <v>748</v>
      </c>
      <c r="D843" s="439" t="s">
        <v>100</v>
      </c>
      <c r="E843" s="337"/>
      <c r="F843" s="94">
        <v>10000</v>
      </c>
      <c r="G843" s="192"/>
      <c r="H843" s="158">
        <f t="shared" si="11"/>
        <v>68650</v>
      </c>
      <c r="I843" s="75" t="s">
        <v>129</v>
      </c>
      <c r="J843" s="75" t="s">
        <v>790</v>
      </c>
      <c r="K843" s="176"/>
    </row>
    <row r="844" spans="1:11" ht="15.6">
      <c r="A844" s="425">
        <v>46094</v>
      </c>
      <c r="B844" s="124" t="s">
        <v>763</v>
      </c>
      <c r="C844" s="124" t="s">
        <v>748</v>
      </c>
      <c r="D844" s="439" t="s">
        <v>100</v>
      </c>
      <c r="E844" s="337"/>
      <c r="F844" s="94">
        <v>10000</v>
      </c>
      <c r="G844" s="192"/>
      <c r="H844" s="158">
        <f t="shared" si="11"/>
        <v>58650</v>
      </c>
      <c r="I844" s="75" t="s">
        <v>129</v>
      </c>
      <c r="J844" s="75" t="s">
        <v>790</v>
      </c>
      <c r="K844" s="176"/>
    </row>
    <row r="845" spans="1:11" ht="15.6">
      <c r="A845" s="425">
        <v>46094</v>
      </c>
      <c r="B845" s="124" t="s">
        <v>764</v>
      </c>
      <c r="C845" s="124" t="s">
        <v>748</v>
      </c>
      <c r="D845" s="439" t="s">
        <v>100</v>
      </c>
      <c r="E845" s="337"/>
      <c r="F845" s="94">
        <v>10000</v>
      </c>
      <c r="G845" s="192"/>
      <c r="H845" s="158">
        <f t="shared" si="11"/>
        <v>48650</v>
      </c>
      <c r="I845" s="75" t="s">
        <v>129</v>
      </c>
      <c r="J845" s="75" t="s">
        <v>790</v>
      </c>
      <c r="K845" s="176"/>
    </row>
    <row r="846" spans="1:11" ht="15.6">
      <c r="A846" s="425">
        <v>46094</v>
      </c>
      <c r="B846" s="124" t="s">
        <v>765</v>
      </c>
      <c r="C846" s="124" t="s">
        <v>748</v>
      </c>
      <c r="D846" s="439" t="s">
        <v>100</v>
      </c>
      <c r="E846" s="337"/>
      <c r="F846" s="94">
        <v>10000</v>
      </c>
      <c r="G846" s="192"/>
      <c r="H846" s="158">
        <f t="shared" si="11"/>
        <v>38650</v>
      </c>
      <c r="I846" s="75" t="s">
        <v>129</v>
      </c>
      <c r="J846" s="75" t="s">
        <v>790</v>
      </c>
      <c r="K846" s="176"/>
    </row>
    <row r="847" spans="1:11" ht="15.6">
      <c r="A847" s="425">
        <v>46094</v>
      </c>
      <c r="B847" s="124" t="s">
        <v>766</v>
      </c>
      <c r="C847" s="124" t="s">
        <v>748</v>
      </c>
      <c r="D847" s="439" t="s">
        <v>100</v>
      </c>
      <c r="E847" s="337"/>
      <c r="F847" s="94">
        <v>6000</v>
      </c>
      <c r="G847" s="192"/>
      <c r="H847" s="158">
        <f t="shared" si="11"/>
        <v>32650</v>
      </c>
      <c r="I847" s="75" t="s">
        <v>129</v>
      </c>
      <c r="J847" s="75" t="s">
        <v>791</v>
      </c>
      <c r="K847" s="176"/>
    </row>
    <row r="848" spans="1:11" ht="15.6">
      <c r="A848" s="425">
        <v>46094</v>
      </c>
      <c r="B848" s="124" t="s">
        <v>767</v>
      </c>
      <c r="C848" s="124" t="s">
        <v>748</v>
      </c>
      <c r="D848" s="439" t="s">
        <v>100</v>
      </c>
      <c r="E848" s="337"/>
      <c r="F848" s="94">
        <v>18000</v>
      </c>
      <c r="G848" s="192"/>
      <c r="H848" s="158">
        <f t="shared" si="11"/>
        <v>14650</v>
      </c>
      <c r="I848" s="75" t="s">
        <v>129</v>
      </c>
      <c r="J848" s="75" t="s">
        <v>791</v>
      </c>
      <c r="K848" s="176"/>
    </row>
    <row r="849" spans="1:11" ht="15.6">
      <c r="A849" s="212">
        <v>46097</v>
      </c>
      <c r="B849" s="75" t="s">
        <v>768</v>
      </c>
      <c r="C849" s="211" t="s">
        <v>337</v>
      </c>
      <c r="D849" s="440" t="s">
        <v>100</v>
      </c>
      <c r="E849" s="337"/>
      <c r="F849" s="337">
        <v>1000</v>
      </c>
      <c r="G849" s="192"/>
      <c r="H849" s="158">
        <f t="shared" si="11"/>
        <v>13650</v>
      </c>
      <c r="I849" s="75" t="s">
        <v>129</v>
      </c>
      <c r="J849" s="75" t="s">
        <v>792</v>
      </c>
      <c r="K849" s="176"/>
    </row>
    <row r="850" spans="1:11" ht="15.6">
      <c r="A850" s="212">
        <v>46097</v>
      </c>
      <c r="B850" s="75" t="s">
        <v>769</v>
      </c>
      <c r="C850" s="211" t="s">
        <v>337</v>
      </c>
      <c r="D850" s="440" t="s">
        <v>100</v>
      </c>
      <c r="E850" s="337"/>
      <c r="F850" s="337">
        <v>1000</v>
      </c>
      <c r="G850" s="192"/>
      <c r="H850" s="158">
        <f t="shared" si="11"/>
        <v>12650</v>
      </c>
      <c r="I850" s="75" t="s">
        <v>129</v>
      </c>
      <c r="J850" s="75" t="s">
        <v>792</v>
      </c>
      <c r="K850" s="176"/>
    </row>
    <row r="851" spans="1:11" ht="14.4" customHeight="1">
      <c r="A851" s="212">
        <v>46097</v>
      </c>
      <c r="B851" s="75" t="s">
        <v>770</v>
      </c>
      <c r="C851" s="211" t="s">
        <v>337</v>
      </c>
      <c r="D851" s="440" t="s">
        <v>100</v>
      </c>
      <c r="E851" s="337"/>
      <c r="F851" s="337">
        <v>1000</v>
      </c>
      <c r="G851" s="192"/>
      <c r="H851" s="158">
        <f t="shared" si="11"/>
        <v>11650</v>
      </c>
      <c r="I851" s="75" t="s">
        <v>129</v>
      </c>
      <c r="J851" s="75" t="s">
        <v>792</v>
      </c>
      <c r="K851" s="176"/>
    </row>
    <row r="852" spans="1:11" ht="15.6">
      <c r="A852" s="212">
        <v>46097</v>
      </c>
      <c r="B852" s="75" t="s">
        <v>771</v>
      </c>
      <c r="C852" s="211" t="s">
        <v>337</v>
      </c>
      <c r="D852" s="440" t="s">
        <v>100</v>
      </c>
      <c r="E852" s="337"/>
      <c r="F852" s="337">
        <v>1000</v>
      </c>
      <c r="G852" s="192"/>
      <c r="H852" s="158">
        <f t="shared" si="11"/>
        <v>10650</v>
      </c>
      <c r="I852" s="75" t="s">
        <v>129</v>
      </c>
      <c r="J852" s="75" t="s">
        <v>792</v>
      </c>
      <c r="K852" s="176"/>
    </row>
    <row r="853" spans="1:11" ht="15.6">
      <c r="A853" s="212">
        <v>46097</v>
      </c>
      <c r="B853" s="75" t="s">
        <v>772</v>
      </c>
      <c r="C853" s="211" t="s">
        <v>337</v>
      </c>
      <c r="D853" s="440" t="s">
        <v>100</v>
      </c>
      <c r="E853" s="337"/>
      <c r="F853" s="337">
        <v>1000</v>
      </c>
      <c r="G853" s="192"/>
      <c r="H853" s="158">
        <f t="shared" si="11"/>
        <v>9650</v>
      </c>
      <c r="I853" s="75" t="s">
        <v>129</v>
      </c>
      <c r="J853" s="75" t="s">
        <v>792</v>
      </c>
      <c r="K853" s="176"/>
    </row>
    <row r="854" spans="1:11" ht="15.6">
      <c r="A854" s="212">
        <v>46097</v>
      </c>
      <c r="B854" s="75" t="s">
        <v>773</v>
      </c>
      <c r="C854" s="211" t="s">
        <v>337</v>
      </c>
      <c r="D854" s="440" t="s">
        <v>100</v>
      </c>
      <c r="E854" s="337"/>
      <c r="F854" s="337">
        <v>1000</v>
      </c>
      <c r="G854" s="192"/>
      <c r="H854" s="158">
        <f t="shared" si="11"/>
        <v>8650</v>
      </c>
      <c r="I854" s="75" t="s">
        <v>129</v>
      </c>
      <c r="J854" s="75" t="s">
        <v>792</v>
      </c>
      <c r="K854" s="176"/>
    </row>
    <row r="855" spans="1:11" ht="15.6">
      <c r="A855" s="212">
        <v>46097</v>
      </c>
      <c r="B855" s="75" t="s">
        <v>774</v>
      </c>
      <c r="C855" s="211" t="s">
        <v>337</v>
      </c>
      <c r="D855" s="440" t="s">
        <v>100</v>
      </c>
      <c r="E855" s="337"/>
      <c r="F855" s="337">
        <v>1000</v>
      </c>
      <c r="G855" s="192"/>
      <c r="H855" s="158">
        <f t="shared" si="11"/>
        <v>7650</v>
      </c>
      <c r="I855" s="75" t="s">
        <v>129</v>
      </c>
      <c r="J855" s="75" t="s">
        <v>792</v>
      </c>
      <c r="K855" s="176"/>
    </row>
    <row r="856" spans="1:11" ht="15.6">
      <c r="A856" s="212">
        <v>46097</v>
      </c>
      <c r="B856" s="75" t="s">
        <v>775</v>
      </c>
      <c r="C856" s="211" t="s">
        <v>337</v>
      </c>
      <c r="D856" s="440" t="s">
        <v>100</v>
      </c>
      <c r="E856" s="337"/>
      <c r="F856" s="337">
        <v>1000</v>
      </c>
      <c r="G856" s="192"/>
      <c r="H856" s="158">
        <f t="shared" si="11"/>
        <v>6650</v>
      </c>
      <c r="I856" s="75" t="s">
        <v>129</v>
      </c>
      <c r="J856" s="75" t="s">
        <v>792</v>
      </c>
      <c r="K856" s="176"/>
    </row>
    <row r="857" spans="1:11" ht="15.6">
      <c r="A857" s="212">
        <v>46097</v>
      </c>
      <c r="B857" s="75" t="s">
        <v>776</v>
      </c>
      <c r="C857" s="211" t="s">
        <v>337</v>
      </c>
      <c r="D857" s="440" t="s">
        <v>100</v>
      </c>
      <c r="E857" s="337"/>
      <c r="F857" s="337">
        <v>1000</v>
      </c>
      <c r="G857" s="192"/>
      <c r="H857" s="158">
        <f t="shared" si="11"/>
        <v>5650</v>
      </c>
      <c r="I857" s="75" t="s">
        <v>129</v>
      </c>
      <c r="J857" s="75" t="s">
        <v>792</v>
      </c>
      <c r="K857" s="176"/>
    </row>
    <row r="858" spans="1:11" ht="15.6">
      <c r="A858" s="212">
        <v>46097</v>
      </c>
      <c r="B858" s="75" t="s">
        <v>777</v>
      </c>
      <c r="C858" s="211" t="s">
        <v>337</v>
      </c>
      <c r="D858" s="440" t="s">
        <v>100</v>
      </c>
      <c r="E858" s="337"/>
      <c r="F858" s="337">
        <v>1000</v>
      </c>
      <c r="G858" s="192"/>
      <c r="H858" s="158">
        <f t="shared" si="11"/>
        <v>4650</v>
      </c>
      <c r="I858" s="75" t="s">
        <v>129</v>
      </c>
      <c r="J858" s="75" t="s">
        <v>792</v>
      </c>
      <c r="K858" s="176"/>
    </row>
    <row r="859" spans="1:11" ht="15.6">
      <c r="A859" s="212">
        <v>46097</v>
      </c>
      <c r="B859" s="75" t="s">
        <v>778</v>
      </c>
      <c r="C859" s="211" t="s">
        <v>337</v>
      </c>
      <c r="D859" s="440" t="s">
        <v>100</v>
      </c>
      <c r="E859" s="337"/>
      <c r="F859" s="337">
        <v>1000</v>
      </c>
      <c r="G859" s="192"/>
      <c r="H859" s="158">
        <f t="shared" si="11"/>
        <v>3650</v>
      </c>
      <c r="I859" s="75" t="s">
        <v>129</v>
      </c>
      <c r="J859" s="75" t="s">
        <v>792</v>
      </c>
      <c r="K859" s="176"/>
    </row>
    <row r="860" spans="1:11" ht="15.6">
      <c r="A860" s="212">
        <v>46099</v>
      </c>
      <c r="B860" s="410" t="s">
        <v>746</v>
      </c>
      <c r="C860" s="411" t="s">
        <v>110</v>
      </c>
      <c r="D860" s="439" t="s">
        <v>100</v>
      </c>
      <c r="E860" s="337">
        <v>7500</v>
      </c>
      <c r="F860" s="337"/>
      <c r="G860" s="192"/>
      <c r="H860" s="158">
        <f t="shared" si="11"/>
        <v>11150</v>
      </c>
      <c r="I860" s="75" t="s">
        <v>129</v>
      </c>
      <c r="J860" s="75" t="s">
        <v>793</v>
      </c>
      <c r="K860" s="176"/>
    </row>
    <row r="861" spans="1:11" ht="15.6">
      <c r="A861" s="212">
        <v>46099</v>
      </c>
      <c r="B861" s="410" t="s">
        <v>746</v>
      </c>
      <c r="C861" s="411" t="s">
        <v>110</v>
      </c>
      <c r="D861" s="439" t="s">
        <v>100</v>
      </c>
      <c r="E861" s="337"/>
      <c r="F861" s="337">
        <v>7500</v>
      </c>
      <c r="G861" s="192"/>
      <c r="H861" s="158">
        <f t="shared" si="11"/>
        <v>3650</v>
      </c>
      <c r="I861" s="75" t="s">
        <v>129</v>
      </c>
      <c r="J861" s="75" t="s">
        <v>793</v>
      </c>
      <c r="K861" s="176"/>
    </row>
    <row r="862" spans="1:11" ht="15.6">
      <c r="A862" s="212">
        <v>46105</v>
      </c>
      <c r="B862" s="410" t="s">
        <v>779</v>
      </c>
      <c r="C862" s="411" t="s">
        <v>110</v>
      </c>
      <c r="D862" s="439" t="s">
        <v>100</v>
      </c>
      <c r="E862" s="337">
        <v>7500</v>
      </c>
      <c r="F862" s="337"/>
      <c r="G862" s="192"/>
      <c r="H862" s="158">
        <f t="shared" si="11"/>
        <v>11150</v>
      </c>
      <c r="I862" s="75" t="s">
        <v>129</v>
      </c>
      <c r="J862" s="75" t="s">
        <v>794</v>
      </c>
      <c r="K862" s="176"/>
    </row>
    <row r="863" spans="1:11" ht="15.6">
      <c r="A863" s="212">
        <v>46105</v>
      </c>
      <c r="B863" s="410" t="s">
        <v>779</v>
      </c>
      <c r="C863" s="411" t="s">
        <v>110</v>
      </c>
      <c r="D863" s="439" t="s">
        <v>100</v>
      </c>
      <c r="E863" s="337"/>
      <c r="F863" s="337">
        <v>7500</v>
      </c>
      <c r="G863" s="192"/>
      <c r="H863" s="158">
        <f t="shared" si="11"/>
        <v>3650</v>
      </c>
      <c r="I863" s="75" t="s">
        <v>129</v>
      </c>
      <c r="J863" s="75" t="s">
        <v>794</v>
      </c>
      <c r="K863" s="176"/>
    </row>
    <row r="864" spans="1:11" ht="15.6">
      <c r="A864" s="212">
        <v>46107</v>
      </c>
      <c r="B864" s="75" t="s">
        <v>780</v>
      </c>
      <c r="C864" s="211" t="s">
        <v>337</v>
      </c>
      <c r="D864" s="440" t="s">
        <v>100</v>
      </c>
      <c r="E864" s="337"/>
      <c r="F864" s="337">
        <v>1000</v>
      </c>
      <c r="G864" s="192"/>
      <c r="H864" s="158">
        <f t="shared" si="11"/>
        <v>2650</v>
      </c>
      <c r="I864" s="75" t="s">
        <v>129</v>
      </c>
      <c r="J864" s="75" t="s">
        <v>792</v>
      </c>
      <c r="K864" s="176"/>
    </row>
    <row r="865" spans="1:11" ht="15.6">
      <c r="A865" s="212">
        <v>46111</v>
      </c>
      <c r="B865" s="75" t="s">
        <v>781</v>
      </c>
      <c r="C865" s="211" t="s">
        <v>402</v>
      </c>
      <c r="D865" s="440" t="s">
        <v>100</v>
      </c>
      <c r="E865" s="337"/>
      <c r="F865" s="337">
        <v>12000</v>
      </c>
      <c r="G865" s="192"/>
      <c r="H865" s="158">
        <f t="shared" si="11"/>
        <v>-9350</v>
      </c>
      <c r="I865" s="75" t="s">
        <v>129</v>
      </c>
      <c r="J865" s="75" t="s">
        <v>795</v>
      </c>
      <c r="K865" s="176"/>
    </row>
    <row r="866" spans="1:11" ht="15.6">
      <c r="A866" s="212">
        <v>46111</v>
      </c>
      <c r="B866" s="75" t="s">
        <v>782</v>
      </c>
      <c r="C866" s="211" t="s">
        <v>102</v>
      </c>
      <c r="D866" s="440" t="s">
        <v>100</v>
      </c>
      <c r="E866" s="337">
        <v>100000</v>
      </c>
      <c r="F866" s="337"/>
      <c r="G866" s="192"/>
      <c r="H866" s="158">
        <f t="shared" si="11"/>
        <v>90650</v>
      </c>
      <c r="I866" s="75" t="s">
        <v>129</v>
      </c>
      <c r="J866" s="75" t="s">
        <v>796</v>
      </c>
      <c r="K866" s="176"/>
    </row>
    <row r="867" spans="1:11" ht="15.6">
      <c r="A867" s="212">
        <v>46112</v>
      </c>
      <c r="B867" s="75" t="s">
        <v>783</v>
      </c>
      <c r="C867" s="211" t="s">
        <v>337</v>
      </c>
      <c r="D867" s="440" t="s">
        <v>100</v>
      </c>
      <c r="E867" s="337"/>
      <c r="F867" s="337">
        <v>1000</v>
      </c>
      <c r="G867" s="192"/>
      <c r="H867" s="158">
        <f t="shared" si="11"/>
        <v>89650</v>
      </c>
      <c r="I867" s="75" t="s">
        <v>129</v>
      </c>
      <c r="J867" s="75" t="s">
        <v>792</v>
      </c>
      <c r="K867" s="176"/>
    </row>
    <row r="868" spans="1:11" ht="15.6">
      <c r="A868" s="212">
        <v>46112</v>
      </c>
      <c r="B868" s="75" t="s">
        <v>784</v>
      </c>
      <c r="C868" s="211" t="s">
        <v>337</v>
      </c>
      <c r="D868" s="440" t="s">
        <v>100</v>
      </c>
      <c r="E868" s="337"/>
      <c r="F868" s="337">
        <v>500</v>
      </c>
      <c r="G868" s="192"/>
      <c r="H868" s="158">
        <f t="shared" ref="H868:H869" si="12">+H867+E868-F868</f>
        <v>89150</v>
      </c>
      <c r="I868" s="75" t="s">
        <v>129</v>
      </c>
      <c r="J868" s="75" t="s">
        <v>792</v>
      </c>
      <c r="K868" s="176"/>
    </row>
    <row r="869" spans="1:11" ht="15.6">
      <c r="A869" s="212">
        <v>46112</v>
      </c>
      <c r="B869" s="75" t="s">
        <v>785</v>
      </c>
      <c r="C869" s="211" t="s">
        <v>542</v>
      </c>
      <c r="D869" s="440" t="s">
        <v>100</v>
      </c>
      <c r="E869" s="337"/>
      <c r="F869" s="337">
        <v>50000</v>
      </c>
      <c r="G869" s="192"/>
      <c r="H869" s="158">
        <f t="shared" si="12"/>
        <v>39150</v>
      </c>
      <c r="I869" s="75" t="s">
        <v>129</v>
      </c>
      <c r="J869" s="75" t="s">
        <v>797</v>
      </c>
      <c r="K869" s="176"/>
    </row>
    <row r="870" spans="1:11" ht="15.6">
      <c r="A870" s="131"/>
      <c r="B870" s="132"/>
      <c r="C870" s="132"/>
      <c r="D870" s="132"/>
      <c r="E870" s="134">
        <f>SUM(E803:E869)</f>
        <v>405780</v>
      </c>
      <c r="F870" s="134">
        <f>SUM(F803:F869)</f>
        <v>381280</v>
      </c>
      <c r="G870" s="134"/>
      <c r="H870" s="135">
        <f>+E870+H802-F870</f>
        <v>39150</v>
      </c>
      <c r="I870" s="132"/>
      <c r="J870" s="132"/>
      <c r="K870" s="132"/>
    </row>
    <row r="871" spans="1:11" ht="15.6">
      <c r="A871" s="131"/>
      <c r="B871" s="132"/>
      <c r="C871" s="132"/>
      <c r="D871" s="132"/>
      <c r="E871" s="134"/>
      <c r="F871" s="134"/>
      <c r="G871" s="134"/>
      <c r="H871" s="135"/>
      <c r="I871" s="132"/>
      <c r="J871" s="132"/>
      <c r="K871" s="132"/>
    </row>
    <row r="873" spans="1:11" ht="15.6">
      <c r="A873" s="171"/>
      <c r="B873" s="507" t="s">
        <v>178</v>
      </c>
      <c r="C873" s="507"/>
      <c r="D873" s="507"/>
      <c r="E873" s="507"/>
      <c r="F873" s="180"/>
      <c r="G873" s="180"/>
      <c r="H873" s="198"/>
      <c r="I873" s="176"/>
      <c r="J873" s="176"/>
    </row>
    <row r="874" spans="1:11" ht="15.6">
      <c r="A874" s="178"/>
      <c r="B874" s="176"/>
      <c r="C874" s="176"/>
      <c r="D874" s="176"/>
      <c r="E874" s="180"/>
      <c r="F874" s="180"/>
      <c r="G874" s="180"/>
      <c r="H874" s="181"/>
      <c r="I874" s="176"/>
      <c r="J874" s="176"/>
    </row>
    <row r="875" spans="1:11" ht="15.6">
      <c r="A875" s="182" t="s">
        <v>0</v>
      </c>
      <c r="B875" s="183" t="s">
        <v>141</v>
      </c>
      <c r="C875" s="183" t="s">
        <v>142</v>
      </c>
      <c r="D875" s="183" t="s">
        <v>143</v>
      </c>
      <c r="E875" s="184" t="s">
        <v>144</v>
      </c>
      <c r="F875" s="236" t="s">
        <v>145</v>
      </c>
      <c r="G875" s="238"/>
      <c r="H875" s="237" t="s">
        <v>30</v>
      </c>
      <c r="I875" s="183" t="s">
        <v>146</v>
      </c>
      <c r="J875" s="183" t="s">
        <v>147</v>
      </c>
    </row>
    <row r="876" spans="1:11" ht="15.6">
      <c r="A876" s="140">
        <v>46082</v>
      </c>
      <c r="B876" s="170" t="s">
        <v>857</v>
      </c>
      <c r="C876" s="170"/>
      <c r="D876" s="170"/>
      <c r="E876" s="173"/>
      <c r="F876" s="173"/>
      <c r="G876" s="227"/>
      <c r="H876" s="169">
        <v>3247</v>
      </c>
      <c r="I876" s="170" t="s">
        <v>124</v>
      </c>
      <c r="J876" s="170"/>
    </row>
    <row r="877" spans="1:11" ht="15.6">
      <c r="A877" s="212">
        <v>46085</v>
      </c>
      <c r="B877" s="75" t="s">
        <v>798</v>
      </c>
      <c r="C877" s="75" t="s">
        <v>337</v>
      </c>
      <c r="D877" s="75" t="s">
        <v>97</v>
      </c>
      <c r="E877" s="75"/>
      <c r="F877" s="75">
        <v>500</v>
      </c>
      <c r="G877" s="227"/>
      <c r="H877" s="441"/>
      <c r="I877" s="75" t="s">
        <v>124</v>
      </c>
      <c r="J877" s="75" t="s">
        <v>836</v>
      </c>
    </row>
    <row r="878" spans="1:11" ht="15.6">
      <c r="A878" s="212">
        <v>46085</v>
      </c>
      <c r="B878" s="75" t="s">
        <v>466</v>
      </c>
      <c r="C878" s="75" t="s">
        <v>337</v>
      </c>
      <c r="D878" s="75" t="s">
        <v>97</v>
      </c>
      <c r="E878" s="75"/>
      <c r="F878" s="75">
        <v>500</v>
      </c>
      <c r="G878" s="227"/>
      <c r="H878" s="441"/>
      <c r="I878" s="75" t="s">
        <v>124</v>
      </c>
      <c r="J878" s="75" t="s">
        <v>836</v>
      </c>
    </row>
    <row r="879" spans="1:11" ht="15.6">
      <c r="A879" s="212">
        <v>46085</v>
      </c>
      <c r="B879" s="357" t="s">
        <v>799</v>
      </c>
      <c r="C879" s="357" t="s">
        <v>110</v>
      </c>
      <c r="D879" s="357" t="s">
        <v>97</v>
      </c>
      <c r="E879" s="75">
        <v>2500</v>
      </c>
      <c r="F879" s="75"/>
      <c r="G879" s="227"/>
      <c r="H879" s="441"/>
      <c r="I879" s="75" t="s">
        <v>124</v>
      </c>
      <c r="J879" s="75" t="s">
        <v>837</v>
      </c>
    </row>
    <row r="880" spans="1:11" ht="15.6">
      <c r="A880" s="212">
        <v>46085</v>
      </c>
      <c r="B880" s="357" t="s">
        <v>799</v>
      </c>
      <c r="C880" s="357" t="s">
        <v>110</v>
      </c>
      <c r="D880" s="357" t="s">
        <v>97</v>
      </c>
      <c r="E880" s="75"/>
      <c r="F880" s="75">
        <v>2500</v>
      </c>
      <c r="G880" s="227"/>
      <c r="H880" s="441"/>
      <c r="I880" s="75" t="s">
        <v>124</v>
      </c>
      <c r="J880" s="75" t="s">
        <v>837</v>
      </c>
    </row>
    <row r="881" spans="1:10" ht="15.6">
      <c r="A881" s="425">
        <v>46085</v>
      </c>
      <c r="B881" s="124" t="s">
        <v>800</v>
      </c>
      <c r="C881" s="75" t="s">
        <v>463</v>
      </c>
      <c r="D881" s="75" t="s">
        <v>98</v>
      </c>
      <c r="E881" s="94">
        <v>2920</v>
      </c>
      <c r="F881" s="75"/>
      <c r="G881" s="227"/>
      <c r="H881" s="441"/>
      <c r="I881" s="403" t="s">
        <v>124</v>
      </c>
      <c r="J881" s="403" t="s">
        <v>838</v>
      </c>
    </row>
    <row r="882" spans="1:10" ht="15.6">
      <c r="A882" s="425">
        <v>46085</v>
      </c>
      <c r="B882" s="124" t="s">
        <v>800</v>
      </c>
      <c r="C882" s="75" t="s">
        <v>463</v>
      </c>
      <c r="D882" s="75" t="s">
        <v>98</v>
      </c>
      <c r="E882" s="75"/>
      <c r="F882" s="94">
        <v>2920</v>
      </c>
      <c r="G882" s="227"/>
      <c r="H882" s="441"/>
      <c r="I882" s="403" t="s">
        <v>124</v>
      </c>
      <c r="J882" s="403" t="s">
        <v>838</v>
      </c>
    </row>
    <row r="883" spans="1:10" ht="15.6">
      <c r="A883" s="425">
        <v>46090</v>
      </c>
      <c r="B883" s="75" t="s">
        <v>801</v>
      </c>
      <c r="C883" s="75" t="s">
        <v>120</v>
      </c>
      <c r="D883" s="75" t="s">
        <v>98</v>
      </c>
      <c r="E883" s="94">
        <v>62500</v>
      </c>
      <c r="F883" s="75"/>
      <c r="G883" s="227"/>
      <c r="H883" s="441"/>
      <c r="I883" s="75" t="s">
        <v>124</v>
      </c>
      <c r="J883" s="403" t="s">
        <v>839</v>
      </c>
    </row>
    <row r="884" spans="1:10" ht="15.6">
      <c r="A884" s="425">
        <v>46090</v>
      </c>
      <c r="B884" s="75" t="s">
        <v>801</v>
      </c>
      <c r="C884" s="75" t="s">
        <v>120</v>
      </c>
      <c r="D884" s="75" t="s">
        <v>98</v>
      </c>
      <c r="E884" s="75"/>
      <c r="F884" s="94">
        <v>62500</v>
      </c>
      <c r="G884" s="227"/>
      <c r="H884" s="441"/>
      <c r="I884" s="75" t="s">
        <v>124</v>
      </c>
      <c r="J884" s="403" t="s">
        <v>839</v>
      </c>
    </row>
    <row r="885" spans="1:10" ht="15.6">
      <c r="A885" s="212">
        <v>46091</v>
      </c>
      <c r="B885" s="357" t="s">
        <v>802</v>
      </c>
      <c r="C885" s="357" t="s">
        <v>110</v>
      </c>
      <c r="D885" s="357" t="s">
        <v>97</v>
      </c>
      <c r="E885" s="75">
        <v>5000</v>
      </c>
      <c r="F885" s="75"/>
      <c r="G885" s="227"/>
      <c r="H885" s="441"/>
      <c r="I885" s="75" t="s">
        <v>124</v>
      </c>
      <c r="J885" s="75" t="s">
        <v>840</v>
      </c>
    </row>
    <row r="886" spans="1:10" ht="15.6">
      <c r="A886" s="212">
        <v>46091</v>
      </c>
      <c r="B886" s="357" t="s">
        <v>802</v>
      </c>
      <c r="C886" s="357" t="s">
        <v>110</v>
      </c>
      <c r="D886" s="357" t="s">
        <v>97</v>
      </c>
      <c r="E886" s="75"/>
      <c r="F886" s="75">
        <v>5000</v>
      </c>
      <c r="G886" s="227"/>
      <c r="H886" s="441"/>
      <c r="I886" s="75" t="s">
        <v>124</v>
      </c>
      <c r="J886" s="75" t="s">
        <v>840</v>
      </c>
    </row>
    <row r="887" spans="1:10" ht="15.6">
      <c r="A887" s="425">
        <v>46092</v>
      </c>
      <c r="B887" s="124" t="s">
        <v>803</v>
      </c>
      <c r="C887" s="75" t="s">
        <v>463</v>
      </c>
      <c r="D887" s="75" t="s">
        <v>98</v>
      </c>
      <c r="E887" s="94">
        <v>6180</v>
      </c>
      <c r="F887" s="75"/>
      <c r="G887" s="227"/>
      <c r="H887" s="441"/>
      <c r="I887" s="75" t="s">
        <v>124</v>
      </c>
      <c r="J887" s="403" t="s">
        <v>841</v>
      </c>
    </row>
    <row r="888" spans="1:10" ht="15.6">
      <c r="A888" s="425">
        <v>46092</v>
      </c>
      <c r="B888" s="124" t="s">
        <v>803</v>
      </c>
      <c r="C888" s="75" t="s">
        <v>463</v>
      </c>
      <c r="D888" s="75" t="s">
        <v>98</v>
      </c>
      <c r="E888" s="75"/>
      <c r="F888" s="94">
        <v>6180</v>
      </c>
      <c r="G888" s="227"/>
      <c r="H888" s="441"/>
      <c r="I888" s="75" t="s">
        <v>124</v>
      </c>
      <c r="J888" s="403" t="s">
        <v>841</v>
      </c>
    </row>
    <row r="889" spans="1:10" ht="15.6">
      <c r="A889" s="212">
        <v>46092</v>
      </c>
      <c r="B889" s="75" t="s">
        <v>804</v>
      </c>
      <c r="C889" s="75" t="s">
        <v>337</v>
      </c>
      <c r="D889" s="75" t="s">
        <v>97</v>
      </c>
      <c r="E889" s="75"/>
      <c r="F889" s="75">
        <v>500</v>
      </c>
      <c r="G889" s="227"/>
      <c r="H889" s="441"/>
      <c r="I889" s="75" t="s">
        <v>124</v>
      </c>
      <c r="J889" s="75" t="s">
        <v>836</v>
      </c>
    </row>
    <row r="890" spans="1:10" ht="15.6">
      <c r="A890" s="212">
        <v>46092</v>
      </c>
      <c r="B890" s="75" t="s">
        <v>466</v>
      </c>
      <c r="C890" s="75" t="s">
        <v>337</v>
      </c>
      <c r="D890" s="75" t="s">
        <v>97</v>
      </c>
      <c r="E890" s="75"/>
      <c r="F890" s="75">
        <v>500</v>
      </c>
      <c r="G890" s="227"/>
      <c r="H890" s="441"/>
      <c r="I890" s="75" t="s">
        <v>124</v>
      </c>
      <c r="J890" s="75" t="s">
        <v>836</v>
      </c>
    </row>
    <row r="891" spans="1:10" ht="15.6">
      <c r="A891" s="425">
        <v>46093</v>
      </c>
      <c r="B891" s="124" t="s">
        <v>462</v>
      </c>
      <c r="C891" s="75" t="s">
        <v>463</v>
      </c>
      <c r="D891" s="75" t="s">
        <v>98</v>
      </c>
      <c r="E891" s="94">
        <v>3390</v>
      </c>
      <c r="F891" s="75"/>
      <c r="G891" s="227"/>
      <c r="H891" s="441"/>
      <c r="I891" s="75" t="s">
        <v>124</v>
      </c>
      <c r="J891" s="403" t="s">
        <v>842</v>
      </c>
    </row>
    <row r="892" spans="1:10" ht="15.6">
      <c r="A892" s="425">
        <v>46093</v>
      </c>
      <c r="B892" s="124" t="s">
        <v>805</v>
      </c>
      <c r="C892" s="75" t="s">
        <v>120</v>
      </c>
      <c r="D892" s="75" t="s">
        <v>98</v>
      </c>
      <c r="E892" s="94">
        <v>24000</v>
      </c>
      <c r="F892" s="75"/>
      <c r="G892" s="227"/>
      <c r="H892" s="441"/>
      <c r="I892" s="75" t="s">
        <v>124</v>
      </c>
      <c r="J892" s="403" t="s">
        <v>843</v>
      </c>
    </row>
    <row r="893" spans="1:10" ht="15.6">
      <c r="A893" s="425">
        <v>46093</v>
      </c>
      <c r="B893" s="124" t="s">
        <v>462</v>
      </c>
      <c r="C893" s="75" t="s">
        <v>463</v>
      </c>
      <c r="D893" s="75" t="s">
        <v>98</v>
      </c>
      <c r="E893" s="75"/>
      <c r="F893" s="94">
        <v>3390</v>
      </c>
      <c r="G893" s="227"/>
      <c r="H893" s="441"/>
      <c r="I893" s="75" t="s">
        <v>124</v>
      </c>
      <c r="J893" s="403" t="s">
        <v>842</v>
      </c>
    </row>
    <row r="894" spans="1:10" ht="15.6">
      <c r="A894" s="425">
        <v>46093</v>
      </c>
      <c r="B894" s="124" t="s">
        <v>805</v>
      </c>
      <c r="C894" s="75" t="s">
        <v>120</v>
      </c>
      <c r="D894" s="75" t="s">
        <v>98</v>
      </c>
      <c r="E894" s="75"/>
      <c r="F894" s="94">
        <v>24000</v>
      </c>
      <c r="G894" s="227"/>
      <c r="H894" s="441"/>
      <c r="I894" s="75" t="s">
        <v>124</v>
      </c>
      <c r="J894" s="403" t="s">
        <v>843</v>
      </c>
    </row>
    <row r="895" spans="1:10" ht="15.6">
      <c r="A895" s="212">
        <v>46093</v>
      </c>
      <c r="B895" s="75" t="s">
        <v>806</v>
      </c>
      <c r="C895" s="75" t="s">
        <v>337</v>
      </c>
      <c r="D895" s="75" t="s">
        <v>97</v>
      </c>
      <c r="E895" s="75"/>
      <c r="F895" s="75">
        <v>500</v>
      </c>
      <c r="G895" s="227"/>
      <c r="H895" s="441"/>
      <c r="I895" s="75" t="s">
        <v>124</v>
      </c>
      <c r="J895" s="75" t="s">
        <v>836</v>
      </c>
    </row>
    <row r="896" spans="1:10" ht="15.6">
      <c r="A896" s="212">
        <v>46093</v>
      </c>
      <c r="B896" s="75" t="s">
        <v>466</v>
      </c>
      <c r="C896" s="75" t="s">
        <v>337</v>
      </c>
      <c r="D896" s="75" t="s">
        <v>97</v>
      </c>
      <c r="E896" s="75"/>
      <c r="F896" s="75">
        <v>500</v>
      </c>
      <c r="G896" s="227"/>
      <c r="H896" s="441"/>
      <c r="I896" s="75" t="s">
        <v>124</v>
      </c>
      <c r="J896" s="75" t="s">
        <v>836</v>
      </c>
    </row>
    <row r="897" spans="1:10" ht="15.6">
      <c r="A897" s="212">
        <v>46099</v>
      </c>
      <c r="B897" s="357" t="s">
        <v>807</v>
      </c>
      <c r="C897" s="357" t="s">
        <v>110</v>
      </c>
      <c r="D897" s="357" t="s">
        <v>97</v>
      </c>
      <c r="E897" s="75">
        <v>5000</v>
      </c>
      <c r="F897" s="75"/>
      <c r="G897" s="227"/>
      <c r="H897" s="441"/>
      <c r="I897" s="75" t="s">
        <v>124</v>
      </c>
      <c r="J897" s="75" t="s">
        <v>844</v>
      </c>
    </row>
    <row r="898" spans="1:10" ht="15.6">
      <c r="A898" s="212">
        <v>46099</v>
      </c>
      <c r="B898" s="357" t="s">
        <v>807</v>
      </c>
      <c r="C898" s="357" t="s">
        <v>110</v>
      </c>
      <c r="D898" s="357" t="s">
        <v>97</v>
      </c>
      <c r="E898" s="75"/>
      <c r="F898" s="75">
        <v>5000</v>
      </c>
      <c r="G898" s="227"/>
      <c r="H898" s="441"/>
      <c r="I898" s="75" t="s">
        <v>124</v>
      </c>
      <c r="J898" s="75" t="s">
        <v>844</v>
      </c>
    </row>
    <row r="899" spans="1:10" ht="15.6">
      <c r="A899" s="212">
        <v>46105</v>
      </c>
      <c r="B899" s="75" t="s">
        <v>801</v>
      </c>
      <c r="C899" s="75" t="s">
        <v>120</v>
      </c>
      <c r="D899" s="75" t="s">
        <v>98</v>
      </c>
      <c r="E899" s="94">
        <v>62500</v>
      </c>
      <c r="F899" s="75"/>
      <c r="G899" s="227"/>
      <c r="H899" s="441"/>
      <c r="I899" s="75" t="s">
        <v>124</v>
      </c>
      <c r="J899" s="403" t="s">
        <v>845</v>
      </c>
    </row>
    <row r="900" spans="1:10" ht="15.6">
      <c r="A900" s="212">
        <v>46105</v>
      </c>
      <c r="B900" s="75" t="s">
        <v>801</v>
      </c>
      <c r="C900" s="75" t="s">
        <v>120</v>
      </c>
      <c r="D900" s="75" t="s">
        <v>98</v>
      </c>
      <c r="E900" s="75"/>
      <c r="F900" s="94">
        <v>62500</v>
      </c>
      <c r="G900" s="227"/>
      <c r="H900" s="441"/>
      <c r="I900" s="75" t="s">
        <v>124</v>
      </c>
      <c r="J900" s="403" t="s">
        <v>845</v>
      </c>
    </row>
    <row r="901" spans="1:10" ht="15.6">
      <c r="A901" s="212">
        <v>46105</v>
      </c>
      <c r="B901" s="357" t="s">
        <v>808</v>
      </c>
      <c r="C901" s="357" t="s">
        <v>110</v>
      </c>
      <c r="D901" s="357" t="s">
        <v>97</v>
      </c>
      <c r="E901" s="75">
        <v>5000</v>
      </c>
      <c r="F901" s="75"/>
      <c r="G901" s="227"/>
      <c r="H901" s="441"/>
      <c r="I901" s="75" t="s">
        <v>124</v>
      </c>
      <c r="J901" s="75" t="s">
        <v>846</v>
      </c>
    </row>
    <row r="902" spans="1:10" ht="15.6">
      <c r="A902" s="212">
        <v>46105</v>
      </c>
      <c r="B902" s="357" t="s">
        <v>808</v>
      </c>
      <c r="C902" s="357" t="s">
        <v>110</v>
      </c>
      <c r="D902" s="357" t="s">
        <v>97</v>
      </c>
      <c r="E902" s="75"/>
      <c r="F902" s="75">
        <v>5000</v>
      </c>
      <c r="G902" s="227"/>
      <c r="H902" s="441"/>
      <c r="I902" s="75" t="s">
        <v>124</v>
      </c>
      <c r="J902" s="75" t="s">
        <v>846</v>
      </c>
    </row>
    <row r="903" spans="1:10" ht="15.6">
      <c r="A903" s="212">
        <v>46106</v>
      </c>
      <c r="B903" s="75" t="s">
        <v>809</v>
      </c>
      <c r="C903" s="75" t="s">
        <v>102</v>
      </c>
      <c r="D903" s="75" t="s">
        <v>97</v>
      </c>
      <c r="E903" s="75">
        <v>50000</v>
      </c>
      <c r="F903" s="75"/>
      <c r="G903" s="227"/>
      <c r="H903" s="441"/>
      <c r="I903" s="75" t="s">
        <v>124</v>
      </c>
      <c r="J903" s="75" t="s">
        <v>847</v>
      </c>
    </row>
    <row r="904" spans="1:10" ht="15.6">
      <c r="A904" s="212">
        <v>46106</v>
      </c>
      <c r="B904" s="75" t="s">
        <v>810</v>
      </c>
      <c r="C904" s="75" t="s">
        <v>337</v>
      </c>
      <c r="D904" s="75" t="s">
        <v>97</v>
      </c>
      <c r="E904" s="75"/>
      <c r="F904" s="75">
        <v>1000</v>
      </c>
      <c r="G904" s="227"/>
      <c r="H904" s="441"/>
      <c r="I904" s="75" t="s">
        <v>124</v>
      </c>
      <c r="J904" s="75" t="s">
        <v>836</v>
      </c>
    </row>
    <row r="905" spans="1:10" ht="15.6">
      <c r="A905" s="212">
        <v>46106</v>
      </c>
      <c r="B905" s="75" t="s">
        <v>811</v>
      </c>
      <c r="C905" s="75" t="s">
        <v>812</v>
      </c>
      <c r="D905" s="75" t="s">
        <v>97</v>
      </c>
      <c r="E905" s="75"/>
      <c r="F905" s="75">
        <v>7000</v>
      </c>
      <c r="G905" s="227"/>
      <c r="H905" s="441"/>
      <c r="I905" s="75" t="s">
        <v>124</v>
      </c>
      <c r="J905" s="75" t="s">
        <v>848</v>
      </c>
    </row>
    <row r="906" spans="1:10" ht="15.6">
      <c r="A906" s="212">
        <v>46106</v>
      </c>
      <c r="B906" s="75" t="s">
        <v>813</v>
      </c>
      <c r="C906" s="75" t="s">
        <v>337</v>
      </c>
      <c r="D906" s="75" t="s">
        <v>97</v>
      </c>
      <c r="E906" s="75"/>
      <c r="F906" s="75">
        <v>1000</v>
      </c>
      <c r="G906" s="227"/>
      <c r="H906" s="441"/>
      <c r="I906" s="75" t="s">
        <v>124</v>
      </c>
      <c r="J906" s="75" t="s">
        <v>836</v>
      </c>
    </row>
    <row r="907" spans="1:10" ht="15.6">
      <c r="A907" s="212">
        <v>46107</v>
      </c>
      <c r="B907" s="75" t="s">
        <v>814</v>
      </c>
      <c r="C907" s="75" t="s">
        <v>337</v>
      </c>
      <c r="D907" s="75" t="s">
        <v>97</v>
      </c>
      <c r="E907" s="75"/>
      <c r="F907" s="75">
        <v>2000</v>
      </c>
      <c r="G907" s="227"/>
      <c r="H907" s="441"/>
      <c r="I907" s="75" t="s">
        <v>124</v>
      </c>
      <c r="J907" s="75" t="s">
        <v>836</v>
      </c>
    </row>
    <row r="908" spans="1:10" ht="15.6">
      <c r="A908" s="212">
        <v>46107</v>
      </c>
      <c r="B908" s="75" t="s">
        <v>815</v>
      </c>
      <c r="C908" s="75" t="s">
        <v>337</v>
      </c>
      <c r="D908" s="75" t="s">
        <v>97</v>
      </c>
      <c r="E908" s="75"/>
      <c r="F908" s="75">
        <v>500</v>
      </c>
      <c r="G908" s="227"/>
      <c r="H908" s="441"/>
      <c r="I908" s="75" t="s">
        <v>124</v>
      </c>
      <c r="J908" s="75" t="s">
        <v>836</v>
      </c>
    </row>
    <row r="909" spans="1:10" ht="15.6">
      <c r="A909" s="212">
        <v>46107</v>
      </c>
      <c r="B909" s="75" t="s">
        <v>816</v>
      </c>
      <c r="C909" s="75" t="s">
        <v>337</v>
      </c>
      <c r="D909" s="75" t="s">
        <v>97</v>
      </c>
      <c r="E909" s="75"/>
      <c r="F909" s="75">
        <v>500</v>
      </c>
      <c r="G909" s="227"/>
      <c r="H909" s="441"/>
      <c r="I909" s="75" t="s">
        <v>124</v>
      </c>
      <c r="J909" s="75" t="s">
        <v>836</v>
      </c>
    </row>
    <row r="910" spans="1:10" ht="15.6">
      <c r="A910" s="212">
        <v>46107</v>
      </c>
      <c r="B910" s="75" t="s">
        <v>817</v>
      </c>
      <c r="C910" s="75" t="s">
        <v>818</v>
      </c>
      <c r="D910" s="75" t="s">
        <v>97</v>
      </c>
      <c r="E910" s="75"/>
      <c r="F910" s="75">
        <v>1500</v>
      </c>
      <c r="G910" s="227"/>
      <c r="H910" s="441"/>
      <c r="I910" s="75" t="s">
        <v>124</v>
      </c>
      <c r="J910" s="75" t="s">
        <v>849</v>
      </c>
    </row>
    <row r="911" spans="1:10" ht="15.6">
      <c r="A911" s="212">
        <v>46107</v>
      </c>
      <c r="B911" s="75" t="s">
        <v>819</v>
      </c>
      <c r="C911" s="75" t="s">
        <v>337</v>
      </c>
      <c r="D911" s="75" t="s">
        <v>97</v>
      </c>
      <c r="E911" s="75"/>
      <c r="F911" s="75">
        <v>500</v>
      </c>
      <c r="G911" s="227"/>
      <c r="H911" s="441"/>
      <c r="I911" s="75" t="s">
        <v>124</v>
      </c>
      <c r="J911" s="75" t="s">
        <v>836</v>
      </c>
    </row>
    <row r="912" spans="1:10" ht="15.6">
      <c r="A912" s="212">
        <v>46107</v>
      </c>
      <c r="B912" s="75" t="s">
        <v>820</v>
      </c>
      <c r="C912" s="75" t="s">
        <v>542</v>
      </c>
      <c r="D912" s="75" t="s">
        <v>97</v>
      </c>
      <c r="E912" s="75"/>
      <c r="F912" s="75">
        <v>20000</v>
      </c>
      <c r="G912" s="227"/>
      <c r="H912" s="441"/>
      <c r="I912" s="75" t="s">
        <v>124</v>
      </c>
      <c r="J912" s="75" t="s">
        <v>850</v>
      </c>
    </row>
    <row r="913" spans="1:10" ht="15.6">
      <c r="A913" s="212">
        <v>46108</v>
      </c>
      <c r="B913" s="75" t="s">
        <v>816</v>
      </c>
      <c r="C913" s="75" t="s">
        <v>337</v>
      </c>
      <c r="D913" s="75" t="s">
        <v>97</v>
      </c>
      <c r="E913" s="75"/>
      <c r="F913" s="75">
        <v>500</v>
      </c>
      <c r="G913" s="227"/>
      <c r="H913" s="441"/>
      <c r="I913" s="75" t="s">
        <v>124</v>
      </c>
      <c r="J913" s="75" t="s">
        <v>836</v>
      </c>
    </row>
    <row r="914" spans="1:10" ht="15.6">
      <c r="A914" s="212">
        <v>46108</v>
      </c>
      <c r="B914" s="75" t="s">
        <v>821</v>
      </c>
      <c r="C914" s="75" t="s">
        <v>818</v>
      </c>
      <c r="D914" s="75" t="s">
        <v>97</v>
      </c>
      <c r="E914" s="75"/>
      <c r="F914" s="75">
        <v>1500</v>
      </c>
      <c r="G914" s="227"/>
      <c r="H914" s="441"/>
      <c r="I914" s="75" t="s">
        <v>124</v>
      </c>
      <c r="J914" s="75" t="s">
        <v>849</v>
      </c>
    </row>
    <row r="915" spans="1:10" ht="15.6">
      <c r="A915" s="212">
        <v>46108</v>
      </c>
      <c r="B915" s="75" t="s">
        <v>822</v>
      </c>
      <c r="C915" s="75" t="s">
        <v>337</v>
      </c>
      <c r="D915" s="75" t="s">
        <v>97</v>
      </c>
      <c r="E915" s="75"/>
      <c r="F915" s="75">
        <v>500</v>
      </c>
      <c r="G915" s="227"/>
      <c r="H915" s="441"/>
      <c r="I915" s="75" t="s">
        <v>124</v>
      </c>
      <c r="J915" s="75" t="s">
        <v>836</v>
      </c>
    </row>
    <row r="916" spans="1:10" ht="15.6">
      <c r="A916" s="212">
        <v>46108</v>
      </c>
      <c r="B916" s="75" t="s">
        <v>823</v>
      </c>
      <c r="C916" s="75" t="s">
        <v>337</v>
      </c>
      <c r="D916" s="75" t="s">
        <v>97</v>
      </c>
      <c r="E916" s="75"/>
      <c r="F916" s="75">
        <v>500</v>
      </c>
      <c r="G916" s="227"/>
      <c r="H916" s="441"/>
      <c r="I916" s="75" t="s">
        <v>124</v>
      </c>
      <c r="J916" s="75" t="s">
        <v>836</v>
      </c>
    </row>
    <row r="917" spans="1:10" ht="15.6">
      <c r="A917" s="212">
        <v>46108</v>
      </c>
      <c r="B917" s="75" t="s">
        <v>809</v>
      </c>
      <c r="C917" s="75" t="s">
        <v>824</v>
      </c>
      <c r="D917" s="75" t="s">
        <v>97</v>
      </c>
      <c r="E917" s="75">
        <v>14500</v>
      </c>
      <c r="F917" s="75"/>
      <c r="G917" s="227"/>
      <c r="H917" s="441"/>
      <c r="I917" s="75" t="s">
        <v>124</v>
      </c>
      <c r="J917" s="75" t="s">
        <v>851</v>
      </c>
    </row>
    <row r="918" spans="1:10" ht="15.6">
      <c r="A918" s="212">
        <v>46108</v>
      </c>
      <c r="B918" s="75" t="s">
        <v>825</v>
      </c>
      <c r="C918" s="75" t="s">
        <v>812</v>
      </c>
      <c r="D918" s="75" t="s">
        <v>97</v>
      </c>
      <c r="E918" s="75"/>
      <c r="F918" s="75">
        <v>7000</v>
      </c>
      <c r="G918" s="227"/>
      <c r="H918" s="441"/>
      <c r="I918" s="75" t="s">
        <v>124</v>
      </c>
      <c r="J918" s="75" t="s">
        <v>852</v>
      </c>
    </row>
    <row r="919" spans="1:10" ht="15.6">
      <c r="A919" s="212">
        <v>46108</v>
      </c>
      <c r="B919" s="75" t="s">
        <v>826</v>
      </c>
      <c r="C919" s="75" t="s">
        <v>337</v>
      </c>
      <c r="D919" s="75" t="s">
        <v>97</v>
      </c>
      <c r="E919" s="75"/>
      <c r="F919" s="75">
        <v>500</v>
      </c>
      <c r="G919" s="227"/>
      <c r="H919" s="441"/>
      <c r="I919" s="75" t="s">
        <v>124</v>
      </c>
      <c r="J919" s="75" t="s">
        <v>836</v>
      </c>
    </row>
    <row r="920" spans="1:10" ht="15.6">
      <c r="A920" s="212">
        <v>46108</v>
      </c>
      <c r="B920" s="75" t="s">
        <v>827</v>
      </c>
      <c r="C920" s="75" t="s">
        <v>337</v>
      </c>
      <c r="D920" s="75" t="s">
        <v>97</v>
      </c>
      <c r="E920" s="75"/>
      <c r="F920" s="75">
        <v>500</v>
      </c>
      <c r="G920" s="227"/>
      <c r="H920" s="441"/>
      <c r="I920" s="75" t="s">
        <v>124</v>
      </c>
      <c r="J920" s="75" t="s">
        <v>836</v>
      </c>
    </row>
    <row r="921" spans="1:10" ht="15.6">
      <c r="A921" s="212">
        <v>46108</v>
      </c>
      <c r="B921" s="75" t="s">
        <v>817</v>
      </c>
      <c r="C921" s="75" t="s">
        <v>818</v>
      </c>
      <c r="D921" s="75" t="s">
        <v>97</v>
      </c>
      <c r="E921" s="75"/>
      <c r="F921" s="75">
        <v>1500</v>
      </c>
      <c r="G921" s="227"/>
      <c r="H921" s="441"/>
      <c r="I921" s="75" t="s">
        <v>124</v>
      </c>
      <c r="J921" s="75" t="s">
        <v>849</v>
      </c>
    </row>
    <row r="922" spans="1:10" ht="15.6">
      <c r="A922" s="212">
        <v>46108</v>
      </c>
      <c r="B922" s="75" t="s">
        <v>828</v>
      </c>
      <c r="C922" s="75" t="s">
        <v>337</v>
      </c>
      <c r="D922" s="75" t="s">
        <v>97</v>
      </c>
      <c r="E922" s="75"/>
      <c r="F922" s="75">
        <v>500</v>
      </c>
      <c r="G922" s="227"/>
      <c r="H922" s="441"/>
      <c r="I922" s="75" t="s">
        <v>124</v>
      </c>
      <c r="J922" s="75" t="s">
        <v>836</v>
      </c>
    </row>
    <row r="923" spans="1:10" ht="15.6">
      <c r="A923" s="212">
        <v>46109</v>
      </c>
      <c r="B923" s="75" t="s">
        <v>829</v>
      </c>
      <c r="C923" s="75" t="s">
        <v>542</v>
      </c>
      <c r="D923" s="75" t="s">
        <v>97</v>
      </c>
      <c r="E923" s="75"/>
      <c r="F923" s="75">
        <v>20000</v>
      </c>
      <c r="G923" s="227"/>
      <c r="H923" s="441"/>
      <c r="I923" s="75" t="s">
        <v>124</v>
      </c>
      <c r="J923" s="75" t="s">
        <v>853</v>
      </c>
    </row>
    <row r="924" spans="1:10" ht="15.6">
      <c r="A924" s="212">
        <v>46109</v>
      </c>
      <c r="B924" s="75" t="s">
        <v>830</v>
      </c>
      <c r="C924" s="75" t="s">
        <v>337</v>
      </c>
      <c r="D924" s="75" t="s">
        <v>97</v>
      </c>
      <c r="E924" s="75"/>
      <c r="F924" s="75">
        <v>500</v>
      </c>
      <c r="G924" s="227"/>
      <c r="H924" s="441"/>
      <c r="I924" s="75" t="s">
        <v>124</v>
      </c>
      <c r="J924" s="75" t="s">
        <v>836</v>
      </c>
    </row>
    <row r="925" spans="1:10" ht="15.6">
      <c r="A925" s="212">
        <v>46109</v>
      </c>
      <c r="B925" s="75" t="s">
        <v>831</v>
      </c>
      <c r="C925" s="75" t="s">
        <v>337</v>
      </c>
      <c r="D925" s="75" t="s">
        <v>97</v>
      </c>
      <c r="E925" s="75"/>
      <c r="F925" s="75">
        <v>1500</v>
      </c>
      <c r="G925" s="227"/>
      <c r="H925" s="441"/>
      <c r="I925" s="75" t="s">
        <v>124</v>
      </c>
      <c r="J925" s="75" t="s">
        <v>836</v>
      </c>
    </row>
    <row r="926" spans="1:10" ht="15.6">
      <c r="A926" s="212">
        <v>46111</v>
      </c>
      <c r="B926" s="75" t="s">
        <v>809</v>
      </c>
      <c r="C926" s="75" t="s">
        <v>102</v>
      </c>
      <c r="D926" s="75" t="s">
        <v>97</v>
      </c>
      <c r="E926" s="75">
        <v>100000</v>
      </c>
      <c r="F926" s="75"/>
      <c r="G926" s="227"/>
      <c r="H926" s="441"/>
      <c r="I926" s="75" t="s">
        <v>124</v>
      </c>
      <c r="J926" s="75" t="s">
        <v>854</v>
      </c>
    </row>
    <row r="927" spans="1:10" ht="15.6">
      <c r="A927" s="212">
        <v>46111</v>
      </c>
      <c r="B927" s="75" t="s">
        <v>832</v>
      </c>
      <c r="C927" s="75" t="s">
        <v>812</v>
      </c>
      <c r="D927" s="75" t="s">
        <v>97</v>
      </c>
      <c r="E927" s="75"/>
      <c r="F927" s="75">
        <v>12000</v>
      </c>
      <c r="G927" s="227"/>
      <c r="H927" s="441"/>
      <c r="I927" s="75" t="s">
        <v>124</v>
      </c>
      <c r="J927" s="75" t="s">
        <v>855</v>
      </c>
    </row>
    <row r="928" spans="1:10" ht="15.6">
      <c r="A928" s="212">
        <v>46112</v>
      </c>
      <c r="B928" s="75" t="s">
        <v>833</v>
      </c>
      <c r="C928" s="75" t="s">
        <v>337</v>
      </c>
      <c r="D928" s="75" t="s">
        <v>97</v>
      </c>
      <c r="E928" s="75"/>
      <c r="F928" s="75">
        <v>2000</v>
      </c>
      <c r="G928" s="227"/>
      <c r="H928" s="441"/>
      <c r="I928" s="75" t="s">
        <v>124</v>
      </c>
      <c r="J928" s="75" t="s">
        <v>836</v>
      </c>
    </row>
    <row r="929" spans="1:10" ht="15.6">
      <c r="A929" s="212">
        <v>46112</v>
      </c>
      <c r="B929" s="75" t="s">
        <v>834</v>
      </c>
      <c r="C929" s="75" t="s">
        <v>337</v>
      </c>
      <c r="D929" s="75" t="s">
        <v>97</v>
      </c>
      <c r="E929" s="75"/>
      <c r="F929" s="75">
        <v>500</v>
      </c>
      <c r="G929" s="227"/>
      <c r="H929" s="441"/>
      <c r="I929" s="75" t="s">
        <v>124</v>
      </c>
      <c r="J929" s="75" t="s">
        <v>836</v>
      </c>
    </row>
    <row r="930" spans="1:10" ht="15.6">
      <c r="A930" s="212">
        <v>46112</v>
      </c>
      <c r="B930" s="75" t="s">
        <v>835</v>
      </c>
      <c r="C930" s="75" t="s">
        <v>542</v>
      </c>
      <c r="D930" s="75" t="s">
        <v>97</v>
      </c>
      <c r="E930" s="75"/>
      <c r="F930" s="75">
        <v>50000</v>
      </c>
      <c r="G930" s="227"/>
      <c r="H930" s="441"/>
      <c r="I930" s="75" t="s">
        <v>124</v>
      </c>
      <c r="J930" s="75" t="s">
        <v>856</v>
      </c>
    </row>
    <row r="931" spans="1:10">
      <c r="E931" s="71">
        <f>SUM(E876:E930)</f>
        <v>343490</v>
      </c>
      <c r="F931" s="71">
        <f>SUM(F876:F930)</f>
        <v>315490</v>
      </c>
      <c r="H931" s="71">
        <f>+E931-F931+H876</f>
        <v>31247</v>
      </c>
    </row>
  </sheetData>
  <mergeCells count="3">
    <mergeCell ref="A150:D150"/>
    <mergeCell ref="B745:E745"/>
    <mergeCell ref="B873:E873"/>
  </mergeCells>
  <phoneticPr fontId="28" type="noConversion"/>
  <dataValidations disablePrompts="1" count="1">
    <dataValidation type="list" allowBlank="1" showInputMessage="1" showErrorMessage="1" sqref="C751"/>
  </dataValidation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B2:C15"/>
  <sheetViews>
    <sheetView zoomScaleNormal="100" workbookViewId="0">
      <selection activeCell="D21" sqref="D21"/>
    </sheetView>
  </sheetViews>
  <sheetFormatPr baseColWidth="10" defaultColWidth="8.69921875" defaultRowHeight="13.8"/>
  <cols>
    <col min="1" max="1" width="5.69921875" customWidth="1"/>
    <col min="2" max="2" width="20.3984375" bestFit="1" customWidth="1"/>
    <col min="3" max="3" width="22.8984375" bestFit="1" customWidth="1"/>
    <col min="4" max="38" width="5.69921875" customWidth="1"/>
    <col min="39" max="63" width="6.69921875" customWidth="1"/>
    <col min="64" max="64" width="7.69921875" customWidth="1"/>
    <col min="65" max="65" width="5.3984375" customWidth="1"/>
    <col min="66" max="66" width="11.69921875" bestFit="1" customWidth="1"/>
  </cols>
  <sheetData>
    <row r="2" spans="2:3">
      <c r="B2" s="161" t="s">
        <v>157</v>
      </c>
      <c r="C2" t="s">
        <v>159</v>
      </c>
    </row>
    <row r="3" spans="2:3">
      <c r="B3" s="141" t="s">
        <v>107</v>
      </c>
      <c r="C3">
        <v>14311743</v>
      </c>
    </row>
    <row r="4" spans="2:3">
      <c r="B4" s="141" t="s">
        <v>111</v>
      </c>
      <c r="C4">
        <v>729464</v>
      </c>
    </row>
    <row r="5" spans="2:3">
      <c r="B5" s="141" t="s">
        <v>168</v>
      </c>
      <c r="C5">
        <v>597923</v>
      </c>
    </row>
    <row r="6" spans="2:3">
      <c r="B6" s="141" t="s">
        <v>124</v>
      </c>
      <c r="C6">
        <v>315490</v>
      </c>
    </row>
    <row r="7" spans="2:3">
      <c r="B7" s="141" t="s">
        <v>128</v>
      </c>
      <c r="C7">
        <v>251870</v>
      </c>
    </row>
    <row r="8" spans="2:3">
      <c r="B8" s="141" t="s">
        <v>122</v>
      </c>
      <c r="C8">
        <v>833650</v>
      </c>
    </row>
    <row r="9" spans="2:3">
      <c r="B9" s="141" t="s">
        <v>131</v>
      </c>
      <c r="C9">
        <v>613900</v>
      </c>
    </row>
    <row r="10" spans="2:3">
      <c r="B10" s="141" t="s">
        <v>123</v>
      </c>
      <c r="C10">
        <v>608500</v>
      </c>
    </row>
    <row r="11" spans="2:3">
      <c r="B11" s="141" t="s">
        <v>134</v>
      </c>
      <c r="C11">
        <v>311070</v>
      </c>
    </row>
    <row r="12" spans="2:3">
      <c r="B12" s="141" t="s">
        <v>129</v>
      </c>
      <c r="C12">
        <v>381280</v>
      </c>
    </row>
    <row r="13" spans="2:3">
      <c r="B13" s="141" t="s">
        <v>125</v>
      </c>
      <c r="C13">
        <v>127070</v>
      </c>
    </row>
    <row r="14" spans="2:3">
      <c r="B14" s="141" t="s">
        <v>126</v>
      </c>
      <c r="C14">
        <v>127070</v>
      </c>
    </row>
    <row r="15" spans="2:3">
      <c r="B15" s="141" t="s">
        <v>158</v>
      </c>
      <c r="C15">
        <v>19209030</v>
      </c>
    </row>
  </sheetData>
  <pageMargins left="0.7" right="0.7" top="0.78740157499999996" bottom="0.78740157499999996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B2:D17"/>
  <sheetViews>
    <sheetView zoomScaleNormal="100" workbookViewId="0">
      <selection activeCell="C12" sqref="C12"/>
    </sheetView>
  </sheetViews>
  <sheetFormatPr baseColWidth="10" defaultColWidth="11.3984375" defaultRowHeight="13.8"/>
  <cols>
    <col min="2" max="2" width="20.3984375" bestFit="1" customWidth="1"/>
    <col min="3" max="3" width="16.59765625" bestFit="1" customWidth="1"/>
    <col min="4" max="4" width="19.296875" bestFit="1" customWidth="1"/>
  </cols>
  <sheetData>
    <row r="2" spans="2:4">
      <c r="B2" s="161" t="s">
        <v>157</v>
      </c>
      <c r="C2" t="s">
        <v>160</v>
      </c>
      <c r="D2" t="s">
        <v>161</v>
      </c>
    </row>
    <row r="3" spans="2:4">
      <c r="B3" s="141" t="s">
        <v>125</v>
      </c>
      <c r="C3">
        <v>127070</v>
      </c>
    </row>
    <row r="4" spans="2:4">
      <c r="B4" s="141" t="s">
        <v>107</v>
      </c>
      <c r="D4">
        <v>6790000</v>
      </c>
    </row>
    <row r="5" spans="2:4">
      <c r="B5" s="141" t="s">
        <v>127</v>
      </c>
      <c r="C5">
        <v>315570</v>
      </c>
    </row>
    <row r="6" spans="2:4">
      <c r="B6" s="141" t="s">
        <v>111</v>
      </c>
      <c r="C6">
        <v>1504964</v>
      </c>
    </row>
    <row r="7" spans="2:4">
      <c r="B7" s="141" t="s">
        <v>129</v>
      </c>
      <c r="C7">
        <v>380280</v>
      </c>
    </row>
    <row r="8" spans="2:4">
      <c r="B8" s="141" t="s">
        <v>131</v>
      </c>
      <c r="C8">
        <v>599000</v>
      </c>
    </row>
    <row r="9" spans="2:4">
      <c r="B9" s="141" t="s">
        <v>123</v>
      </c>
      <c r="C9">
        <v>588000</v>
      </c>
    </row>
    <row r="10" spans="2:4">
      <c r="B10" s="141" t="s">
        <v>198</v>
      </c>
      <c r="C10">
        <v>248500</v>
      </c>
    </row>
    <row r="11" spans="2:4">
      <c r="B11" s="141" t="s">
        <v>126</v>
      </c>
      <c r="C11">
        <v>127070</v>
      </c>
    </row>
    <row r="12" spans="2:4">
      <c r="B12" s="141" t="s">
        <v>124</v>
      </c>
      <c r="C12">
        <v>325990</v>
      </c>
    </row>
    <row r="13" spans="2:4">
      <c r="B13" s="141" t="s">
        <v>122</v>
      </c>
      <c r="C13">
        <v>812000</v>
      </c>
      <c r="D13">
        <v>30000</v>
      </c>
    </row>
    <row r="14" spans="2:4">
      <c r="B14" s="141" t="s">
        <v>180</v>
      </c>
    </row>
    <row r="15" spans="2:4">
      <c r="B15" s="141" t="s">
        <v>882</v>
      </c>
      <c r="C15">
        <v>316370</v>
      </c>
    </row>
    <row r="16" spans="2:4">
      <c r="B16" s="141" t="s">
        <v>168</v>
      </c>
      <c r="C16">
        <v>598423</v>
      </c>
    </row>
    <row r="17" spans="2:4">
      <c r="B17" s="141" t="s">
        <v>158</v>
      </c>
      <c r="C17">
        <v>5943237</v>
      </c>
      <c r="D17">
        <v>6820000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B2:S10"/>
  <sheetViews>
    <sheetView workbookViewId="0">
      <selection activeCell="E16" sqref="E16"/>
    </sheetView>
  </sheetViews>
  <sheetFormatPr baseColWidth="10" defaultColWidth="8.69921875" defaultRowHeight="13.8"/>
  <cols>
    <col min="1" max="1" width="13.09765625" bestFit="1" customWidth="1"/>
    <col min="2" max="2" width="22.8984375" bestFit="1" customWidth="1"/>
    <col min="3" max="3" width="23.09765625" bestFit="1" customWidth="1"/>
    <col min="4" max="4" width="9.8984375" bestFit="1" customWidth="1"/>
    <col min="5" max="5" width="13.8984375" bestFit="1" customWidth="1"/>
    <col min="6" max="6" width="8.59765625" bestFit="1" customWidth="1"/>
    <col min="7" max="7" width="10.09765625" bestFit="1" customWidth="1"/>
    <col min="8" max="8" width="5.69921875" bestFit="1" customWidth="1"/>
    <col min="9" max="9" width="7.69921875" bestFit="1" customWidth="1"/>
    <col min="10" max="10" width="9.59765625" bestFit="1" customWidth="1"/>
    <col min="11" max="11" width="13.8984375" bestFit="1" customWidth="1"/>
    <col min="12" max="12" width="12.8984375" bestFit="1" customWidth="1"/>
    <col min="13" max="13" width="19.3984375" bestFit="1" customWidth="1"/>
    <col min="14" max="14" width="17.59765625" bestFit="1" customWidth="1"/>
    <col min="15" max="15" width="12.09765625" bestFit="1" customWidth="1"/>
    <col min="16" max="16" width="13.09765625" bestFit="1" customWidth="1"/>
    <col min="17" max="17" width="20.8984375" bestFit="1" customWidth="1"/>
    <col min="18" max="18" width="7.59765625" bestFit="1" customWidth="1"/>
    <col min="19" max="19" width="12.09765625" bestFit="1" customWidth="1"/>
    <col min="20" max="20" width="18.69921875" bestFit="1" customWidth="1"/>
    <col min="21" max="21" width="7.59765625" bestFit="1" customWidth="1"/>
    <col min="22" max="22" width="12.09765625" bestFit="1" customWidth="1"/>
    <col min="23" max="23" width="11.59765625" bestFit="1" customWidth="1"/>
    <col min="24" max="24" width="18.09765625" bestFit="1" customWidth="1"/>
    <col min="25" max="25" width="14.3984375" bestFit="1" customWidth="1"/>
    <col min="26" max="26" width="12.09765625" bestFit="1" customWidth="1"/>
  </cols>
  <sheetData>
    <row r="2" spans="2:19">
      <c r="B2" s="161" t="s">
        <v>159</v>
      </c>
      <c r="C2" s="161" t="s">
        <v>182</v>
      </c>
    </row>
    <row r="3" spans="2:19">
      <c r="B3" s="161" t="s">
        <v>157</v>
      </c>
      <c r="C3" t="s">
        <v>120</v>
      </c>
      <c r="D3" t="s">
        <v>104</v>
      </c>
      <c r="E3" t="s">
        <v>103</v>
      </c>
      <c r="F3" t="s">
        <v>130</v>
      </c>
      <c r="G3" t="s">
        <v>110</v>
      </c>
      <c r="H3" t="s">
        <v>254</v>
      </c>
      <c r="I3" t="s">
        <v>242</v>
      </c>
      <c r="J3" t="s">
        <v>278</v>
      </c>
      <c r="K3" t="s">
        <v>337</v>
      </c>
      <c r="L3" t="s">
        <v>541</v>
      </c>
      <c r="M3" t="s">
        <v>402</v>
      </c>
      <c r="N3" t="s">
        <v>406</v>
      </c>
      <c r="O3" t="s">
        <v>280</v>
      </c>
      <c r="P3" t="s">
        <v>463</v>
      </c>
      <c r="Q3" t="s">
        <v>748</v>
      </c>
      <c r="R3" t="s">
        <v>818</v>
      </c>
      <c r="S3" t="s">
        <v>158</v>
      </c>
    </row>
    <row r="4" spans="2:19">
      <c r="B4" s="141" t="s">
        <v>259</v>
      </c>
      <c r="D4">
        <v>1802143</v>
      </c>
      <c r="G4">
        <v>90000</v>
      </c>
      <c r="K4">
        <v>186650</v>
      </c>
      <c r="L4">
        <v>82400</v>
      </c>
      <c r="M4">
        <v>337000</v>
      </c>
      <c r="N4">
        <v>1360000</v>
      </c>
      <c r="S4">
        <v>3858193</v>
      </c>
    </row>
    <row r="5" spans="2:19">
      <c r="B5" s="141" t="s">
        <v>97</v>
      </c>
      <c r="D5">
        <v>4187991</v>
      </c>
      <c r="G5">
        <v>73000</v>
      </c>
      <c r="K5">
        <v>41500</v>
      </c>
      <c r="M5">
        <v>69000</v>
      </c>
      <c r="N5">
        <v>240000</v>
      </c>
      <c r="O5">
        <v>600000</v>
      </c>
      <c r="R5">
        <v>12000</v>
      </c>
      <c r="S5">
        <v>5223491</v>
      </c>
    </row>
    <row r="6" spans="2:19">
      <c r="B6" s="141" t="s">
        <v>99</v>
      </c>
      <c r="D6">
        <v>5242964</v>
      </c>
      <c r="G6">
        <v>60000</v>
      </c>
      <c r="K6">
        <v>79500</v>
      </c>
      <c r="S6">
        <v>5382464</v>
      </c>
    </row>
    <row r="7" spans="2:19">
      <c r="B7" s="141" t="s">
        <v>100</v>
      </c>
      <c r="D7">
        <v>936910</v>
      </c>
      <c r="G7">
        <v>25500</v>
      </c>
      <c r="K7">
        <v>13500</v>
      </c>
      <c r="M7">
        <v>12000</v>
      </c>
      <c r="N7">
        <v>50000</v>
      </c>
      <c r="Q7">
        <v>148000</v>
      </c>
      <c r="S7">
        <v>1185910</v>
      </c>
    </row>
    <row r="8" spans="2:19">
      <c r="B8" s="141" t="s">
        <v>98</v>
      </c>
      <c r="C8">
        <v>230150</v>
      </c>
      <c r="D8">
        <v>1119200</v>
      </c>
      <c r="E8">
        <v>1059363</v>
      </c>
      <c r="F8">
        <v>977164</v>
      </c>
      <c r="I8">
        <v>45050</v>
      </c>
      <c r="J8">
        <v>31995</v>
      </c>
      <c r="K8">
        <v>54500</v>
      </c>
      <c r="P8">
        <v>41550</v>
      </c>
      <c r="S8">
        <v>3558972</v>
      </c>
    </row>
    <row r="9" spans="2:19">
      <c r="B9" s="141" t="s">
        <v>180</v>
      </c>
    </row>
    <row r="10" spans="2:19">
      <c r="B10" s="141" t="s">
        <v>158</v>
      </c>
      <c r="C10">
        <v>230150</v>
      </c>
      <c r="D10">
        <v>13289208</v>
      </c>
      <c r="E10">
        <v>1059363</v>
      </c>
      <c r="F10">
        <v>977164</v>
      </c>
      <c r="G10">
        <v>248500</v>
      </c>
      <c r="I10">
        <v>45050</v>
      </c>
      <c r="J10">
        <v>31995</v>
      </c>
      <c r="K10">
        <v>375650</v>
      </c>
      <c r="L10">
        <v>82400</v>
      </c>
      <c r="M10">
        <v>418000</v>
      </c>
      <c r="N10">
        <v>1650000</v>
      </c>
      <c r="O10">
        <v>600000</v>
      </c>
      <c r="P10">
        <v>41550</v>
      </c>
      <c r="Q10">
        <v>148000</v>
      </c>
      <c r="R10">
        <v>12000</v>
      </c>
      <c r="S10">
        <v>19209030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L46"/>
  <sheetViews>
    <sheetView workbookViewId="0">
      <selection activeCell="B32" sqref="B32"/>
    </sheetView>
  </sheetViews>
  <sheetFormatPr baseColWidth="10" defaultColWidth="8.69921875" defaultRowHeight="13.8"/>
  <cols>
    <col min="1" max="1" width="16.09765625" style="69" customWidth="1"/>
    <col min="2" max="2" width="68.59765625" customWidth="1"/>
    <col min="3" max="3" width="15.69921875" customWidth="1"/>
    <col min="4" max="4" width="17.09765625" customWidth="1"/>
    <col min="5" max="7" width="17.09765625" style="71" customWidth="1"/>
    <col min="8" max="8" width="7.09765625" customWidth="1"/>
    <col min="9" max="9" width="17.09765625" customWidth="1"/>
    <col min="10" max="10" width="20.69921875" customWidth="1"/>
    <col min="11" max="11" width="11.69921875" bestFit="1" customWidth="1"/>
    <col min="12" max="12" width="8.69921875" style="157"/>
  </cols>
  <sheetData>
    <row r="1" spans="1:12" ht="14.4">
      <c r="A1" s="72" t="s">
        <v>0</v>
      </c>
      <c r="B1" s="73" t="s">
        <v>1</v>
      </c>
      <c r="C1" s="73" t="s">
        <v>101</v>
      </c>
      <c r="D1" s="73" t="s">
        <v>3</v>
      </c>
      <c r="E1" s="85" t="s">
        <v>29</v>
      </c>
      <c r="F1" s="86" t="s">
        <v>12</v>
      </c>
      <c r="G1" s="86" t="s">
        <v>30</v>
      </c>
      <c r="H1" s="74" t="s">
        <v>10</v>
      </c>
      <c r="I1" s="74" t="s">
        <v>6</v>
      </c>
      <c r="J1" s="98" t="s">
        <v>70</v>
      </c>
    </row>
    <row r="2" spans="1:12" ht="15.6">
      <c r="A2" s="240">
        <v>46082</v>
      </c>
      <c r="B2" s="215" t="s">
        <v>948</v>
      </c>
      <c r="C2" s="118"/>
      <c r="D2" s="118"/>
      <c r="E2" s="120"/>
      <c r="F2" s="119"/>
      <c r="G2" s="241">
        <v>1757673</v>
      </c>
      <c r="H2" s="75" t="s">
        <v>107</v>
      </c>
      <c r="I2" s="75"/>
      <c r="J2" s="75"/>
    </row>
    <row r="3" spans="1:12" ht="16.2" customHeight="1">
      <c r="A3" s="358">
        <v>46083</v>
      </c>
      <c r="B3" s="215" t="s">
        <v>915</v>
      </c>
      <c r="C3" s="350" t="s">
        <v>102</v>
      </c>
      <c r="D3" s="117"/>
      <c r="E3" s="120">
        <v>790000</v>
      </c>
      <c r="F3" s="119"/>
      <c r="G3" s="94">
        <f t="shared" ref="G3:G46" si="0">G2-E3+F3</f>
        <v>967673</v>
      </c>
      <c r="H3" s="75" t="s">
        <v>107</v>
      </c>
      <c r="I3" s="75" t="s">
        <v>988</v>
      </c>
      <c r="J3" s="75"/>
      <c r="L3" s="157">
        <f>F3/12550</f>
        <v>0</v>
      </c>
    </row>
    <row r="4" spans="1:12" ht="14.4">
      <c r="A4" s="358">
        <v>46083</v>
      </c>
      <c r="B4" s="159" t="s">
        <v>279</v>
      </c>
      <c r="C4" s="123" t="s">
        <v>280</v>
      </c>
      <c r="D4" s="349" t="s">
        <v>97</v>
      </c>
      <c r="E4" s="120">
        <v>150000</v>
      </c>
      <c r="F4" s="120"/>
      <c r="G4" s="94">
        <f t="shared" si="0"/>
        <v>817673</v>
      </c>
      <c r="H4" s="75" t="s">
        <v>107</v>
      </c>
      <c r="I4" s="75" t="s">
        <v>949</v>
      </c>
      <c r="J4" s="75"/>
    </row>
    <row r="5" spans="1:12" ht="15.6">
      <c r="A5" s="358">
        <v>46083</v>
      </c>
      <c r="B5" s="350" t="s">
        <v>1007</v>
      </c>
      <c r="C5" s="350" t="s">
        <v>103</v>
      </c>
      <c r="D5" s="350" t="s">
        <v>98</v>
      </c>
      <c r="E5" s="338">
        <v>500000</v>
      </c>
      <c r="F5" s="348"/>
      <c r="G5" s="94">
        <f t="shared" si="0"/>
        <v>317673</v>
      </c>
      <c r="H5" s="75" t="s">
        <v>107</v>
      </c>
      <c r="I5" s="75" t="s">
        <v>950</v>
      </c>
      <c r="J5" s="75"/>
    </row>
    <row r="6" spans="1:12" ht="15.6">
      <c r="A6" s="358">
        <v>46083</v>
      </c>
      <c r="B6" s="350" t="s">
        <v>1004</v>
      </c>
      <c r="C6" s="350" t="s">
        <v>130</v>
      </c>
      <c r="D6" s="350" t="s">
        <v>98</v>
      </c>
      <c r="E6" s="338">
        <v>260000</v>
      </c>
      <c r="F6" s="348"/>
      <c r="G6" s="94">
        <f t="shared" si="0"/>
        <v>57673</v>
      </c>
      <c r="H6" s="75" t="s">
        <v>107</v>
      </c>
      <c r="I6" s="75" t="s">
        <v>951</v>
      </c>
    </row>
    <row r="7" spans="1:12" ht="14.4">
      <c r="A7" s="358">
        <v>46090</v>
      </c>
      <c r="B7" s="339" t="s">
        <v>916</v>
      </c>
      <c r="C7" s="346" t="s">
        <v>254</v>
      </c>
      <c r="D7" s="117"/>
      <c r="E7" s="338"/>
      <c r="F7" s="348">
        <v>32124589</v>
      </c>
      <c r="G7" s="94">
        <f t="shared" si="0"/>
        <v>32182262</v>
      </c>
      <c r="H7" s="75" t="s">
        <v>107</v>
      </c>
      <c r="I7" s="75" t="s">
        <v>989</v>
      </c>
    </row>
    <row r="8" spans="1:12" ht="14.4">
      <c r="A8" s="358">
        <v>46090</v>
      </c>
      <c r="B8" s="159" t="s">
        <v>917</v>
      </c>
      <c r="C8" s="346" t="s">
        <v>104</v>
      </c>
      <c r="D8" s="346" t="s">
        <v>97</v>
      </c>
      <c r="E8" s="338">
        <v>228800</v>
      </c>
      <c r="F8" s="348"/>
      <c r="G8" s="94">
        <f t="shared" si="0"/>
        <v>31953462</v>
      </c>
      <c r="H8" s="75" t="s">
        <v>107</v>
      </c>
      <c r="I8" s="75" t="s">
        <v>952</v>
      </c>
    </row>
    <row r="9" spans="1:12" ht="14.4">
      <c r="A9" s="358">
        <v>46090</v>
      </c>
      <c r="B9" s="159" t="s">
        <v>917</v>
      </c>
      <c r="C9" s="346" t="s">
        <v>104</v>
      </c>
      <c r="D9" s="346" t="s">
        <v>97</v>
      </c>
      <c r="E9" s="338">
        <v>228800</v>
      </c>
      <c r="F9" s="348"/>
      <c r="G9" s="94">
        <f t="shared" si="0"/>
        <v>31724662</v>
      </c>
      <c r="H9" s="75" t="s">
        <v>107</v>
      </c>
      <c r="I9" s="75" t="s">
        <v>953</v>
      </c>
    </row>
    <row r="10" spans="1:12" ht="14.4">
      <c r="A10" s="358">
        <v>46090</v>
      </c>
      <c r="B10" s="339" t="s">
        <v>918</v>
      </c>
      <c r="C10" s="346" t="s">
        <v>104</v>
      </c>
      <c r="D10" s="340" t="s">
        <v>97</v>
      </c>
      <c r="E10" s="338">
        <v>581764</v>
      </c>
      <c r="F10" s="348"/>
      <c r="G10" s="94">
        <f t="shared" si="0"/>
        <v>31142898</v>
      </c>
      <c r="H10" s="75" t="s">
        <v>107</v>
      </c>
      <c r="I10" s="75" t="s">
        <v>954</v>
      </c>
    </row>
    <row r="11" spans="1:12" ht="14.4">
      <c r="A11" s="358">
        <v>46090</v>
      </c>
      <c r="B11" s="159" t="s">
        <v>919</v>
      </c>
      <c r="C11" s="346" t="s">
        <v>104</v>
      </c>
      <c r="D11" s="123" t="s">
        <v>97</v>
      </c>
      <c r="E11" s="338">
        <v>328800</v>
      </c>
      <c r="F11" s="348"/>
      <c r="G11" s="94">
        <f t="shared" si="0"/>
        <v>30814098</v>
      </c>
      <c r="H11" s="75" t="s">
        <v>107</v>
      </c>
      <c r="I11" s="75" t="s">
        <v>955</v>
      </c>
    </row>
    <row r="12" spans="1:12" ht="14.4">
      <c r="A12" s="358">
        <v>46090</v>
      </c>
      <c r="B12" s="159" t="s">
        <v>920</v>
      </c>
      <c r="C12" s="346" t="s">
        <v>104</v>
      </c>
      <c r="D12" s="123" t="s">
        <v>100</v>
      </c>
      <c r="E12" s="338">
        <v>268210</v>
      </c>
      <c r="F12" s="348"/>
      <c r="G12" s="94">
        <f t="shared" si="0"/>
        <v>30545888</v>
      </c>
      <c r="H12" s="75" t="s">
        <v>107</v>
      </c>
      <c r="I12" s="75" t="s">
        <v>956</v>
      </c>
    </row>
    <row r="13" spans="1:12" ht="14.4">
      <c r="A13" s="358">
        <v>46090</v>
      </c>
      <c r="B13" s="339" t="s">
        <v>921</v>
      </c>
      <c r="C13" s="346" t="s">
        <v>104</v>
      </c>
      <c r="D13" s="340" t="s">
        <v>97</v>
      </c>
      <c r="E13" s="338">
        <v>581764</v>
      </c>
      <c r="F13" s="348"/>
      <c r="G13" s="94">
        <f t="shared" si="0"/>
        <v>29964124</v>
      </c>
      <c r="H13" s="75" t="s">
        <v>107</v>
      </c>
      <c r="I13" s="75" t="s">
        <v>957</v>
      </c>
    </row>
    <row r="14" spans="1:12" ht="14.4">
      <c r="A14" s="358">
        <v>46090</v>
      </c>
      <c r="B14" s="159" t="s">
        <v>922</v>
      </c>
      <c r="C14" s="347" t="s">
        <v>104</v>
      </c>
      <c r="D14" s="123" t="s">
        <v>97</v>
      </c>
      <c r="E14" s="338">
        <v>328800</v>
      </c>
      <c r="F14" s="348"/>
      <c r="G14" s="94">
        <f t="shared" si="0"/>
        <v>29635324</v>
      </c>
      <c r="H14" s="75" t="s">
        <v>107</v>
      </c>
      <c r="I14" s="75" t="s">
        <v>958</v>
      </c>
    </row>
    <row r="15" spans="1:12" ht="14.4">
      <c r="A15" s="358">
        <v>46090</v>
      </c>
      <c r="B15" s="159" t="s">
        <v>923</v>
      </c>
      <c r="C15" s="347" t="s">
        <v>104</v>
      </c>
      <c r="D15" s="123" t="s">
        <v>100</v>
      </c>
      <c r="E15" s="338">
        <v>268210</v>
      </c>
      <c r="F15" s="348"/>
      <c r="G15" s="94">
        <f t="shared" si="0"/>
        <v>29367114</v>
      </c>
      <c r="H15" s="75" t="s">
        <v>107</v>
      </c>
      <c r="I15" s="75" t="s">
        <v>959</v>
      </c>
    </row>
    <row r="16" spans="1:12" ht="14.4">
      <c r="A16" s="358">
        <v>46090</v>
      </c>
      <c r="B16" s="339" t="s">
        <v>924</v>
      </c>
      <c r="C16" s="347" t="s">
        <v>104</v>
      </c>
      <c r="D16" s="117" t="s">
        <v>259</v>
      </c>
      <c r="E16" s="338">
        <v>255000</v>
      </c>
      <c r="F16" s="348"/>
      <c r="G16" s="94">
        <f t="shared" si="0"/>
        <v>29112114</v>
      </c>
      <c r="H16" s="75" t="s">
        <v>107</v>
      </c>
      <c r="I16" s="75" t="s">
        <v>960</v>
      </c>
    </row>
    <row r="17" spans="1:12" ht="14.4">
      <c r="A17" s="358">
        <v>46090</v>
      </c>
      <c r="B17" s="339" t="s">
        <v>925</v>
      </c>
      <c r="C17" s="347" t="s">
        <v>104</v>
      </c>
      <c r="D17" s="117" t="s">
        <v>259</v>
      </c>
      <c r="E17" s="338">
        <v>255000</v>
      </c>
      <c r="F17" s="348"/>
      <c r="G17" s="94">
        <f t="shared" si="0"/>
        <v>28857114</v>
      </c>
      <c r="H17" s="75" t="s">
        <v>107</v>
      </c>
      <c r="I17" s="75" t="s">
        <v>961</v>
      </c>
    </row>
    <row r="18" spans="1:12" ht="14.4">
      <c r="A18" s="358">
        <v>46090</v>
      </c>
      <c r="B18" s="339" t="s">
        <v>926</v>
      </c>
      <c r="C18" s="347" t="s">
        <v>104</v>
      </c>
      <c r="D18" s="117" t="s">
        <v>259</v>
      </c>
      <c r="E18" s="338">
        <v>255000</v>
      </c>
      <c r="F18" s="348"/>
      <c r="G18" s="94">
        <f t="shared" si="0"/>
        <v>28602114</v>
      </c>
      <c r="H18" s="75" t="s">
        <v>107</v>
      </c>
      <c r="I18" s="75" t="s">
        <v>962</v>
      </c>
    </row>
    <row r="19" spans="1:12" ht="14.4">
      <c r="A19" s="358">
        <v>46090</v>
      </c>
      <c r="B19" s="339" t="s">
        <v>927</v>
      </c>
      <c r="C19" s="347" t="s">
        <v>104</v>
      </c>
      <c r="D19" s="117" t="s">
        <v>259</v>
      </c>
      <c r="E19" s="338">
        <v>255000</v>
      </c>
      <c r="F19" s="348"/>
      <c r="G19" s="94">
        <f t="shared" si="0"/>
        <v>28347114</v>
      </c>
      <c r="H19" s="75" t="s">
        <v>107</v>
      </c>
      <c r="I19" s="75" t="s">
        <v>963</v>
      </c>
    </row>
    <row r="20" spans="1:12" ht="14.4">
      <c r="A20" s="358">
        <v>46090</v>
      </c>
      <c r="B20" s="339" t="s">
        <v>928</v>
      </c>
      <c r="C20" s="347" t="s">
        <v>104</v>
      </c>
      <c r="D20" s="117" t="s">
        <v>259</v>
      </c>
      <c r="E20" s="338">
        <v>400000</v>
      </c>
      <c r="F20" s="348"/>
      <c r="G20" s="94">
        <f t="shared" si="0"/>
        <v>27947114</v>
      </c>
      <c r="H20" s="75" t="s">
        <v>107</v>
      </c>
      <c r="I20" s="75" t="s">
        <v>964</v>
      </c>
    </row>
    <row r="21" spans="1:12" ht="14.4">
      <c r="A21" s="358">
        <v>46090</v>
      </c>
      <c r="B21" s="339" t="s">
        <v>929</v>
      </c>
      <c r="C21" s="347" t="s">
        <v>104</v>
      </c>
      <c r="D21" s="117" t="s">
        <v>259</v>
      </c>
      <c r="E21" s="338">
        <v>157143</v>
      </c>
      <c r="F21" s="348"/>
      <c r="G21" s="94">
        <f t="shared" si="0"/>
        <v>27789971</v>
      </c>
      <c r="H21" s="75" t="s">
        <v>107</v>
      </c>
      <c r="I21" s="75" t="s">
        <v>965</v>
      </c>
    </row>
    <row r="22" spans="1:12" ht="15.6">
      <c r="A22" s="358">
        <v>46090</v>
      </c>
      <c r="B22" s="215" t="s">
        <v>930</v>
      </c>
      <c r="C22" s="350" t="s">
        <v>102</v>
      </c>
      <c r="D22" s="117"/>
      <c r="E22" s="338">
        <v>2000000</v>
      </c>
      <c r="F22" s="348"/>
      <c r="G22" s="94">
        <f t="shared" si="0"/>
        <v>25789971</v>
      </c>
      <c r="H22" s="75" t="s">
        <v>107</v>
      </c>
      <c r="I22" s="75" t="s">
        <v>990</v>
      </c>
    </row>
    <row r="23" spans="1:12" ht="14.4">
      <c r="A23" s="358">
        <v>46091</v>
      </c>
      <c r="B23" s="159" t="s">
        <v>931</v>
      </c>
      <c r="C23" s="347" t="s">
        <v>104</v>
      </c>
      <c r="D23" s="117" t="s">
        <v>99</v>
      </c>
      <c r="E23" s="338">
        <v>700000</v>
      </c>
      <c r="F23" s="348"/>
      <c r="G23" s="94">
        <f t="shared" si="0"/>
        <v>25089971</v>
      </c>
      <c r="H23" s="75" t="s">
        <v>107</v>
      </c>
      <c r="I23" s="75" t="s">
        <v>966</v>
      </c>
    </row>
    <row r="24" spans="1:12" ht="14.4">
      <c r="A24" s="358">
        <v>46091</v>
      </c>
      <c r="B24" s="159" t="s">
        <v>932</v>
      </c>
      <c r="C24" s="347" t="s">
        <v>104</v>
      </c>
      <c r="D24" s="117" t="s">
        <v>99</v>
      </c>
      <c r="E24" s="338">
        <v>1311000</v>
      </c>
      <c r="F24" s="348"/>
      <c r="G24" s="94">
        <f t="shared" si="0"/>
        <v>23778971</v>
      </c>
      <c r="H24" s="75" t="s">
        <v>107</v>
      </c>
      <c r="I24" s="75" t="s">
        <v>967</v>
      </c>
    </row>
    <row r="25" spans="1:12" ht="14.4">
      <c r="A25" s="358">
        <v>46091</v>
      </c>
      <c r="B25" s="159" t="s">
        <v>932</v>
      </c>
      <c r="C25" s="347" t="s">
        <v>104</v>
      </c>
      <c r="D25" s="117" t="s">
        <v>99</v>
      </c>
      <c r="E25" s="338">
        <v>1311000</v>
      </c>
      <c r="F25" s="348"/>
      <c r="G25" s="94">
        <f t="shared" si="0"/>
        <v>22467971</v>
      </c>
      <c r="H25" s="75" t="s">
        <v>107</v>
      </c>
      <c r="I25" s="75" t="s">
        <v>968</v>
      </c>
    </row>
    <row r="26" spans="1:12" ht="14.4">
      <c r="A26" s="358">
        <v>46091</v>
      </c>
      <c r="B26" s="159" t="s">
        <v>933</v>
      </c>
      <c r="C26" s="347" t="s">
        <v>104</v>
      </c>
      <c r="D26" s="347" t="s">
        <v>98</v>
      </c>
      <c r="E26" s="338">
        <v>258800</v>
      </c>
      <c r="F26" s="348"/>
      <c r="G26" s="94">
        <f t="shared" si="0"/>
        <v>22209171</v>
      </c>
      <c r="H26" s="75" t="s">
        <v>107</v>
      </c>
      <c r="I26" s="75" t="s">
        <v>969</v>
      </c>
    </row>
    <row r="27" spans="1:12" ht="14.4">
      <c r="A27" s="358">
        <v>46091</v>
      </c>
      <c r="B27" s="159" t="s">
        <v>934</v>
      </c>
      <c r="C27" s="347" t="s">
        <v>104</v>
      </c>
      <c r="D27" s="347" t="s">
        <v>98</v>
      </c>
      <c r="E27" s="338">
        <v>274914</v>
      </c>
      <c r="F27" s="348"/>
      <c r="G27" s="94">
        <f t="shared" si="0"/>
        <v>21934257</v>
      </c>
      <c r="H27" s="75" t="s">
        <v>107</v>
      </c>
      <c r="I27" s="75" t="s">
        <v>970</v>
      </c>
    </row>
    <row r="28" spans="1:12" ht="14.4">
      <c r="A28" s="358">
        <v>46091</v>
      </c>
      <c r="B28" s="159" t="s">
        <v>935</v>
      </c>
      <c r="C28" s="347" t="s">
        <v>104</v>
      </c>
      <c r="D28" s="347" t="s">
        <v>98</v>
      </c>
      <c r="E28" s="338">
        <v>187886</v>
      </c>
      <c r="F28" s="348"/>
      <c r="G28" s="94">
        <f t="shared" si="0"/>
        <v>21746371</v>
      </c>
      <c r="H28" s="75" t="s">
        <v>107</v>
      </c>
      <c r="I28" s="75" t="s">
        <v>971</v>
      </c>
      <c r="L28" s="157">
        <f>F28/3000</f>
        <v>0</v>
      </c>
    </row>
    <row r="29" spans="1:12" ht="14.4">
      <c r="A29" s="358">
        <v>46091</v>
      </c>
      <c r="B29" s="159" t="s">
        <v>1014</v>
      </c>
      <c r="C29" s="347" t="s">
        <v>280</v>
      </c>
      <c r="D29" s="349" t="s">
        <v>97</v>
      </c>
      <c r="E29" s="120">
        <v>150000</v>
      </c>
      <c r="F29" s="348"/>
      <c r="G29" s="94">
        <f t="shared" si="0"/>
        <v>21596371</v>
      </c>
      <c r="H29" s="75" t="s">
        <v>107</v>
      </c>
      <c r="I29" s="75" t="s">
        <v>972</v>
      </c>
    </row>
    <row r="30" spans="1:12" ht="14.4">
      <c r="A30" s="358">
        <v>46091</v>
      </c>
      <c r="B30" s="159" t="s">
        <v>1015</v>
      </c>
      <c r="C30" s="123" t="s">
        <v>280</v>
      </c>
      <c r="D30" s="349" t="s">
        <v>97</v>
      </c>
      <c r="E30" s="352">
        <v>150000</v>
      </c>
      <c r="F30" s="348"/>
      <c r="G30" s="94">
        <f t="shared" si="0"/>
        <v>21446371</v>
      </c>
      <c r="H30" s="75" t="s">
        <v>107</v>
      </c>
      <c r="I30" s="75" t="s">
        <v>973</v>
      </c>
      <c r="K30" s="154">
        <f>F3+F28</f>
        <v>0</v>
      </c>
      <c r="L30" s="157">
        <f>K30/(12550+3000)</f>
        <v>0</v>
      </c>
    </row>
    <row r="31" spans="1:12" ht="14.4">
      <c r="A31" s="358">
        <v>46091</v>
      </c>
      <c r="B31" s="159" t="s">
        <v>1016</v>
      </c>
      <c r="C31" s="123" t="s">
        <v>280</v>
      </c>
      <c r="D31" s="349" t="s">
        <v>97</v>
      </c>
      <c r="E31" s="352">
        <v>150000</v>
      </c>
      <c r="F31" s="348"/>
      <c r="G31" s="94">
        <f t="shared" si="0"/>
        <v>21296371</v>
      </c>
      <c r="H31" s="75" t="s">
        <v>107</v>
      </c>
      <c r="I31" s="75" t="s">
        <v>974</v>
      </c>
    </row>
    <row r="32" spans="1:12" ht="15.6">
      <c r="A32" s="358">
        <v>46091</v>
      </c>
      <c r="B32" s="350" t="s">
        <v>1010</v>
      </c>
      <c r="C32" s="350" t="s">
        <v>130</v>
      </c>
      <c r="D32" s="350" t="s">
        <v>98</v>
      </c>
      <c r="E32" s="338">
        <v>260000</v>
      </c>
      <c r="F32" s="348"/>
      <c r="G32" s="94">
        <f t="shared" si="0"/>
        <v>21036371</v>
      </c>
      <c r="H32" s="75" t="s">
        <v>107</v>
      </c>
      <c r="I32" s="75" t="s">
        <v>975</v>
      </c>
    </row>
    <row r="33" spans="1:9" ht="15.6">
      <c r="A33" s="358">
        <v>46091</v>
      </c>
      <c r="B33" s="350" t="s">
        <v>1011</v>
      </c>
      <c r="C33" s="350" t="s">
        <v>103</v>
      </c>
      <c r="D33" s="350" t="s">
        <v>98</v>
      </c>
      <c r="E33" s="338">
        <v>500000</v>
      </c>
      <c r="F33" s="348"/>
      <c r="G33" s="94">
        <f t="shared" si="0"/>
        <v>20536371</v>
      </c>
      <c r="H33" s="75" t="s">
        <v>107</v>
      </c>
      <c r="I33" s="75" t="s">
        <v>976</v>
      </c>
    </row>
    <row r="34" spans="1:9" ht="14.4">
      <c r="A34" s="358">
        <v>46091</v>
      </c>
      <c r="B34" s="159" t="s">
        <v>936</v>
      </c>
      <c r="C34" s="347" t="s">
        <v>278</v>
      </c>
      <c r="D34" s="123" t="s">
        <v>98</v>
      </c>
      <c r="E34" s="338">
        <v>10665</v>
      </c>
      <c r="F34" s="348"/>
      <c r="G34" s="94">
        <f t="shared" si="0"/>
        <v>20525706</v>
      </c>
      <c r="H34" s="75" t="s">
        <v>107</v>
      </c>
      <c r="I34" s="75" t="s">
        <v>977</v>
      </c>
    </row>
    <row r="35" spans="1:9" ht="14.4">
      <c r="A35" s="358">
        <v>46091</v>
      </c>
      <c r="B35" s="159" t="s">
        <v>937</v>
      </c>
      <c r="C35" s="347" t="s">
        <v>278</v>
      </c>
      <c r="D35" s="123" t="s">
        <v>98</v>
      </c>
      <c r="E35" s="338">
        <v>10665</v>
      </c>
      <c r="F35" s="348"/>
      <c r="G35" s="94">
        <f t="shared" si="0"/>
        <v>20515041</v>
      </c>
      <c r="H35" s="75" t="s">
        <v>107</v>
      </c>
      <c r="I35" s="75" t="s">
        <v>978</v>
      </c>
    </row>
    <row r="36" spans="1:9" ht="15.6">
      <c r="A36" s="358">
        <v>46093</v>
      </c>
      <c r="B36" s="215" t="s">
        <v>938</v>
      </c>
      <c r="C36" s="351" t="s">
        <v>102</v>
      </c>
      <c r="D36" s="446"/>
      <c r="E36" s="338">
        <v>2000000</v>
      </c>
      <c r="F36" s="348"/>
      <c r="G36" s="94">
        <f t="shared" si="0"/>
        <v>18515041</v>
      </c>
      <c r="H36" s="75" t="s">
        <v>107</v>
      </c>
      <c r="I36" s="75" t="s">
        <v>991</v>
      </c>
    </row>
    <row r="37" spans="1:9" ht="14.4">
      <c r="A37" s="358">
        <v>46100</v>
      </c>
      <c r="B37" s="447" t="s">
        <v>939</v>
      </c>
      <c r="C37" s="447" t="s">
        <v>130</v>
      </c>
      <c r="D37" s="447" t="s">
        <v>98</v>
      </c>
      <c r="E37" s="338">
        <v>217164</v>
      </c>
      <c r="F37" s="348"/>
      <c r="G37" s="94">
        <f t="shared" si="0"/>
        <v>18297877</v>
      </c>
      <c r="H37" s="75" t="s">
        <v>107</v>
      </c>
      <c r="I37" s="75" t="s">
        <v>979</v>
      </c>
    </row>
    <row r="38" spans="1:9" ht="14.4">
      <c r="A38" s="358">
        <v>46107</v>
      </c>
      <c r="B38" s="159" t="s">
        <v>1013</v>
      </c>
      <c r="C38" s="347" t="s">
        <v>104</v>
      </c>
      <c r="D38" s="347" t="s">
        <v>97</v>
      </c>
      <c r="E38" s="338">
        <v>228800</v>
      </c>
      <c r="F38" s="348"/>
      <c r="G38" s="94">
        <f t="shared" si="0"/>
        <v>18069077</v>
      </c>
      <c r="H38" s="75" t="s">
        <v>107</v>
      </c>
      <c r="I38" s="75" t="s">
        <v>980</v>
      </c>
    </row>
    <row r="39" spans="1:9" ht="14.4">
      <c r="A39" s="358">
        <v>46107</v>
      </c>
      <c r="B39" s="339" t="s">
        <v>941</v>
      </c>
      <c r="C39" s="123" t="s">
        <v>104</v>
      </c>
      <c r="D39" s="340" t="s">
        <v>97</v>
      </c>
      <c r="E39" s="338">
        <v>581764</v>
      </c>
      <c r="F39" s="348"/>
      <c r="G39" s="94">
        <f t="shared" si="0"/>
        <v>17487313</v>
      </c>
      <c r="H39" s="75" t="s">
        <v>107</v>
      </c>
      <c r="I39" s="75" t="s">
        <v>981</v>
      </c>
    </row>
    <row r="40" spans="1:9" ht="14.4">
      <c r="A40" s="358">
        <v>46107</v>
      </c>
      <c r="B40" s="159" t="s">
        <v>942</v>
      </c>
      <c r="C40" s="347" t="s">
        <v>104</v>
      </c>
      <c r="D40" s="123" t="s">
        <v>97</v>
      </c>
      <c r="E40" s="338">
        <v>563119</v>
      </c>
      <c r="F40" s="348"/>
      <c r="G40" s="94">
        <f t="shared" si="0"/>
        <v>16924194</v>
      </c>
      <c r="H40" s="75" t="s">
        <v>107</v>
      </c>
      <c r="I40" s="75" t="s">
        <v>982</v>
      </c>
    </row>
    <row r="41" spans="1:9" ht="14.4">
      <c r="A41" s="358">
        <v>46107</v>
      </c>
      <c r="B41" s="159" t="s">
        <v>943</v>
      </c>
      <c r="C41" s="347" t="s">
        <v>104</v>
      </c>
      <c r="D41" s="123" t="s">
        <v>100</v>
      </c>
      <c r="E41" s="338">
        <v>268210</v>
      </c>
      <c r="F41" s="348"/>
      <c r="G41" s="94">
        <f t="shared" si="0"/>
        <v>16655984</v>
      </c>
      <c r="H41" s="75" t="s">
        <v>107</v>
      </c>
      <c r="I41" s="75" t="s">
        <v>983</v>
      </c>
    </row>
    <row r="42" spans="1:9" ht="14.4">
      <c r="A42" s="358">
        <v>46107</v>
      </c>
      <c r="B42" s="159" t="s">
        <v>944</v>
      </c>
      <c r="C42" s="123" t="s">
        <v>104</v>
      </c>
      <c r="D42" s="349" t="s">
        <v>99</v>
      </c>
      <c r="E42" s="338">
        <v>1311000</v>
      </c>
      <c r="F42" s="348"/>
      <c r="G42" s="94">
        <f t="shared" si="0"/>
        <v>15344984</v>
      </c>
      <c r="H42" s="75" t="s">
        <v>107</v>
      </c>
      <c r="I42" s="75" t="s">
        <v>984</v>
      </c>
    </row>
    <row r="43" spans="1:9" ht="14.4">
      <c r="A43" s="358">
        <v>46107</v>
      </c>
      <c r="B43" s="159" t="s">
        <v>945</v>
      </c>
      <c r="C43" s="347" t="s">
        <v>104</v>
      </c>
      <c r="D43" s="347" t="s">
        <v>98</v>
      </c>
      <c r="E43" s="338">
        <v>328800</v>
      </c>
      <c r="F43" s="348"/>
      <c r="G43" s="94">
        <f t="shared" si="0"/>
        <v>15016184</v>
      </c>
      <c r="H43" s="75" t="s">
        <v>107</v>
      </c>
      <c r="I43" s="75" t="s">
        <v>985</v>
      </c>
    </row>
    <row r="44" spans="1:9" ht="15.6">
      <c r="A44" s="358">
        <v>46107</v>
      </c>
      <c r="B44" s="215" t="s">
        <v>864</v>
      </c>
      <c r="C44" s="350" t="s">
        <v>102</v>
      </c>
      <c r="D44" s="117"/>
      <c r="E44" s="338">
        <v>2000000</v>
      </c>
      <c r="F44" s="348"/>
      <c r="G44" s="94">
        <f t="shared" si="0"/>
        <v>13016184</v>
      </c>
      <c r="H44" s="75" t="s">
        <v>107</v>
      </c>
      <c r="I44" s="75" t="s">
        <v>992</v>
      </c>
    </row>
    <row r="45" spans="1:9" ht="14.4">
      <c r="A45" s="358">
        <v>46107</v>
      </c>
      <c r="B45" s="159" t="s">
        <v>946</v>
      </c>
      <c r="C45" s="347" t="s">
        <v>278</v>
      </c>
      <c r="D45" s="123" t="s">
        <v>98</v>
      </c>
      <c r="E45" s="338">
        <v>10665</v>
      </c>
      <c r="F45" s="348"/>
      <c r="G45" s="94">
        <f t="shared" si="0"/>
        <v>13005519</v>
      </c>
      <c r="H45" s="75" t="s">
        <v>107</v>
      </c>
      <c r="I45" s="75" t="s">
        <v>986</v>
      </c>
    </row>
    <row r="46" spans="1:9" ht="14.4">
      <c r="A46" s="358">
        <v>46111</v>
      </c>
      <c r="B46" s="339" t="s">
        <v>947</v>
      </c>
      <c r="C46" s="117" t="s">
        <v>104</v>
      </c>
      <c r="D46" s="117" t="s">
        <v>259</v>
      </c>
      <c r="E46" s="338">
        <v>225000</v>
      </c>
      <c r="F46" s="348"/>
      <c r="G46" s="94">
        <f t="shared" si="0"/>
        <v>12780519</v>
      </c>
      <c r="H46" s="75" t="s">
        <v>107</v>
      </c>
      <c r="I46" s="75" t="s">
        <v>987</v>
      </c>
    </row>
  </sheetData>
  <autoFilter ref="A1:I5">
    <sortState ref="A2:I5">
      <sortCondition ref="A1:A5"/>
    </sortState>
  </autoFilter>
  <phoneticPr fontId="28" type="noConversion"/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pageSetUpPr fitToPage="1"/>
  </sheetPr>
  <dimension ref="A1:E100"/>
  <sheetViews>
    <sheetView zoomScaleNormal="100" workbookViewId="0">
      <selection activeCell="K74" sqref="K74"/>
    </sheetView>
  </sheetViews>
  <sheetFormatPr baseColWidth="10" defaultColWidth="8.69921875" defaultRowHeight="13.8"/>
  <cols>
    <col min="1" max="1" width="15.296875" customWidth="1"/>
    <col min="2" max="2" width="8.69921875" customWidth="1"/>
    <col min="3" max="3" width="84.09765625" customWidth="1"/>
    <col min="4" max="4" width="21.09765625" customWidth="1"/>
    <col min="5" max="5" width="14.09765625" customWidth="1"/>
  </cols>
  <sheetData>
    <row r="1" spans="1:5" ht="15.6">
      <c r="A1" s="280" t="s">
        <v>32</v>
      </c>
      <c r="B1" s="281"/>
      <c r="C1" s="281"/>
      <c r="D1" s="281"/>
      <c r="E1" s="281"/>
    </row>
    <row r="2" spans="1:5" ht="15.6">
      <c r="A2" s="282" t="s">
        <v>33</v>
      </c>
      <c r="B2" s="282" t="s">
        <v>96</v>
      </c>
      <c r="C2" s="282"/>
      <c r="D2" s="283"/>
      <c r="E2" s="282"/>
    </row>
    <row r="3" spans="1:5" ht="15.6">
      <c r="A3" s="282" t="s">
        <v>34</v>
      </c>
      <c r="B3" s="284">
        <v>46082</v>
      </c>
      <c r="C3" s="285"/>
      <c r="D3" s="282"/>
      <c r="E3" s="282"/>
    </row>
    <row r="4" spans="1:5" ht="15.6">
      <c r="A4" s="282"/>
      <c r="B4" s="282"/>
      <c r="C4" s="282"/>
      <c r="D4" s="282"/>
      <c r="E4" s="282"/>
    </row>
    <row r="5" spans="1:5" ht="15.6">
      <c r="A5" s="282" t="s">
        <v>35</v>
      </c>
      <c r="B5" s="282"/>
      <c r="C5" s="282"/>
      <c r="D5" s="282"/>
      <c r="E5" s="282"/>
    </row>
    <row r="6" spans="1:5" ht="16.2" thickBot="1">
      <c r="A6" s="286" t="s">
        <v>51</v>
      </c>
      <c r="B6" s="286"/>
      <c r="C6" s="286"/>
      <c r="D6" s="286"/>
      <c r="E6" s="286"/>
    </row>
    <row r="7" spans="1:5" ht="16.2" thickBot="1">
      <c r="A7" s="508" t="s">
        <v>36</v>
      </c>
      <c r="B7" s="509"/>
      <c r="C7" s="509"/>
      <c r="D7" s="509"/>
      <c r="E7" s="510"/>
    </row>
    <row r="8" spans="1:5" ht="16.2" thickBot="1">
      <c r="A8" s="287"/>
      <c r="B8" s="288"/>
      <c r="C8" s="289"/>
      <c r="D8" s="290"/>
      <c r="E8" s="291"/>
    </row>
    <row r="9" spans="1:5" ht="15.6">
      <c r="A9" s="292" t="s">
        <v>0</v>
      </c>
      <c r="B9" s="293" t="s">
        <v>37</v>
      </c>
      <c r="C9" s="294" t="s">
        <v>38</v>
      </c>
      <c r="D9" s="294" t="s">
        <v>39</v>
      </c>
      <c r="E9" s="294" t="s">
        <v>40</v>
      </c>
    </row>
    <row r="10" spans="1:5" ht="15.6">
      <c r="A10" s="295">
        <v>46082</v>
      </c>
      <c r="B10" s="296"/>
      <c r="C10" s="215" t="s">
        <v>948</v>
      </c>
      <c r="D10" s="297">
        <f>'Bank journal  '!G2</f>
        <v>1757673</v>
      </c>
      <c r="E10" s="298"/>
    </row>
    <row r="11" spans="1:5" ht="15.6">
      <c r="A11" s="448">
        <v>46083</v>
      </c>
      <c r="B11" s="296"/>
      <c r="C11" s="215" t="s">
        <v>915</v>
      </c>
      <c r="D11" s="119"/>
      <c r="E11" s="120">
        <v>790000</v>
      </c>
    </row>
    <row r="12" spans="1:5" ht="15.6">
      <c r="A12" s="448">
        <v>46083</v>
      </c>
      <c r="B12" s="296"/>
      <c r="C12" s="159" t="s">
        <v>279</v>
      </c>
      <c r="D12" s="120"/>
      <c r="E12" s="120">
        <v>150000</v>
      </c>
    </row>
    <row r="13" spans="1:5" ht="15.6">
      <c r="A13" s="448">
        <v>46083</v>
      </c>
      <c r="B13" s="296"/>
      <c r="C13" s="350" t="s">
        <v>1008</v>
      </c>
      <c r="D13" s="348"/>
      <c r="E13" s="338">
        <v>500000</v>
      </c>
    </row>
    <row r="14" spans="1:5" ht="15.6">
      <c r="A14" s="448">
        <v>46083</v>
      </c>
      <c r="B14" s="296"/>
      <c r="C14" s="350" t="s">
        <v>1004</v>
      </c>
      <c r="D14" s="348"/>
      <c r="E14" s="338">
        <v>260000</v>
      </c>
    </row>
    <row r="15" spans="1:5" ht="15.6">
      <c r="A15" s="448">
        <v>46090</v>
      </c>
      <c r="B15" s="296"/>
      <c r="C15" s="339" t="s">
        <v>916</v>
      </c>
      <c r="D15" s="348">
        <v>32124589</v>
      </c>
      <c r="E15" s="338"/>
    </row>
    <row r="16" spans="1:5" ht="15.6">
      <c r="A16" s="448">
        <v>46090</v>
      </c>
      <c r="B16" s="296"/>
      <c r="C16" s="159" t="s">
        <v>917</v>
      </c>
      <c r="D16" s="348"/>
      <c r="E16" s="338">
        <v>228800</v>
      </c>
    </row>
    <row r="17" spans="1:5" ht="15.6">
      <c r="A17" s="448">
        <v>46090</v>
      </c>
      <c r="B17" s="296"/>
      <c r="C17" s="159" t="s">
        <v>917</v>
      </c>
      <c r="D17" s="348"/>
      <c r="E17" s="338">
        <v>228800</v>
      </c>
    </row>
    <row r="18" spans="1:5" ht="15.6">
      <c r="A18" s="448">
        <v>46090</v>
      </c>
      <c r="B18" s="296"/>
      <c r="C18" s="339" t="s">
        <v>918</v>
      </c>
      <c r="D18" s="348"/>
      <c r="E18" s="338">
        <v>581764</v>
      </c>
    </row>
    <row r="19" spans="1:5" ht="15.6">
      <c r="A19" s="448">
        <v>46090</v>
      </c>
      <c r="B19" s="296"/>
      <c r="C19" s="159" t="s">
        <v>919</v>
      </c>
      <c r="D19" s="348"/>
      <c r="E19" s="338">
        <v>328800</v>
      </c>
    </row>
    <row r="20" spans="1:5" ht="15.6">
      <c r="A20" s="448">
        <v>46090</v>
      </c>
      <c r="B20" s="296"/>
      <c r="C20" s="159" t="s">
        <v>920</v>
      </c>
      <c r="D20" s="348"/>
      <c r="E20" s="338">
        <v>268210</v>
      </c>
    </row>
    <row r="21" spans="1:5" ht="15.6">
      <c r="A21" s="448">
        <v>46090</v>
      </c>
      <c r="B21" s="296"/>
      <c r="C21" s="339" t="s">
        <v>921</v>
      </c>
      <c r="D21" s="348"/>
      <c r="E21" s="338">
        <v>581764</v>
      </c>
    </row>
    <row r="22" spans="1:5" ht="15.6">
      <c r="A22" s="448">
        <v>46090</v>
      </c>
      <c r="B22" s="296"/>
      <c r="C22" s="159" t="s">
        <v>922</v>
      </c>
      <c r="D22" s="348"/>
      <c r="E22" s="338">
        <v>328800</v>
      </c>
    </row>
    <row r="23" spans="1:5" ht="15.6">
      <c r="A23" s="448">
        <v>46090</v>
      </c>
      <c r="B23" s="296"/>
      <c r="C23" s="159" t="s">
        <v>923</v>
      </c>
      <c r="D23" s="348"/>
      <c r="E23" s="338">
        <v>268210</v>
      </c>
    </row>
    <row r="24" spans="1:5" ht="15.6">
      <c r="A24" s="448">
        <v>46090</v>
      </c>
      <c r="B24" s="296"/>
      <c r="C24" s="339" t="s">
        <v>924</v>
      </c>
      <c r="D24" s="348"/>
      <c r="E24" s="338">
        <v>255000</v>
      </c>
    </row>
    <row r="25" spans="1:5" ht="15.6">
      <c r="A25" s="448">
        <v>46090</v>
      </c>
      <c r="B25" s="296"/>
      <c r="C25" s="339" t="s">
        <v>925</v>
      </c>
      <c r="D25" s="348"/>
      <c r="E25" s="338">
        <v>255000</v>
      </c>
    </row>
    <row r="26" spans="1:5" ht="15.6">
      <c r="A26" s="448">
        <v>46090</v>
      </c>
      <c r="B26" s="296"/>
      <c r="C26" s="339" t="s">
        <v>926</v>
      </c>
      <c r="D26" s="348"/>
      <c r="E26" s="338">
        <v>255000</v>
      </c>
    </row>
    <row r="27" spans="1:5" ht="15.6">
      <c r="A27" s="448">
        <v>46090</v>
      </c>
      <c r="B27" s="296"/>
      <c r="C27" s="339" t="s">
        <v>927</v>
      </c>
      <c r="D27" s="348"/>
      <c r="E27" s="338">
        <v>255000</v>
      </c>
    </row>
    <row r="28" spans="1:5" ht="15.6">
      <c r="A28" s="448">
        <v>46090</v>
      </c>
      <c r="B28" s="296"/>
      <c r="C28" s="339" t="s">
        <v>928</v>
      </c>
      <c r="D28" s="348"/>
      <c r="E28" s="338">
        <v>400000</v>
      </c>
    </row>
    <row r="29" spans="1:5" ht="15.6">
      <c r="A29" s="448">
        <v>46090</v>
      </c>
      <c r="B29" s="296"/>
      <c r="C29" s="339" t="s">
        <v>929</v>
      </c>
      <c r="D29" s="348"/>
      <c r="E29" s="338">
        <v>157143</v>
      </c>
    </row>
    <row r="30" spans="1:5" ht="15.6">
      <c r="A30" s="448">
        <v>46090</v>
      </c>
      <c r="B30" s="296"/>
      <c r="C30" s="215" t="s">
        <v>930</v>
      </c>
      <c r="D30" s="348"/>
      <c r="E30" s="338">
        <v>2000000</v>
      </c>
    </row>
    <row r="31" spans="1:5" ht="15.6">
      <c r="A31" s="448">
        <v>46091</v>
      </c>
      <c r="B31" s="296"/>
      <c r="C31" s="159" t="s">
        <v>931</v>
      </c>
      <c r="D31" s="348"/>
      <c r="E31" s="338">
        <v>700000</v>
      </c>
    </row>
    <row r="32" spans="1:5" ht="15.6">
      <c r="A32" s="448">
        <v>46091</v>
      </c>
      <c r="B32" s="296"/>
      <c r="C32" s="159" t="s">
        <v>932</v>
      </c>
      <c r="D32" s="348"/>
      <c r="E32" s="338">
        <v>1311000</v>
      </c>
    </row>
    <row r="33" spans="1:5" ht="15.6">
      <c r="A33" s="448">
        <v>46091</v>
      </c>
      <c r="B33" s="296"/>
      <c r="C33" s="159" t="s">
        <v>932</v>
      </c>
      <c r="D33" s="348"/>
      <c r="E33" s="338">
        <v>1311000</v>
      </c>
    </row>
    <row r="34" spans="1:5" ht="15.6">
      <c r="A34" s="448">
        <v>46091</v>
      </c>
      <c r="B34" s="296"/>
      <c r="C34" s="159" t="s">
        <v>933</v>
      </c>
      <c r="D34" s="348"/>
      <c r="E34" s="338">
        <v>258800</v>
      </c>
    </row>
    <row r="35" spans="1:5" ht="15.6">
      <c r="A35" s="448">
        <v>46091</v>
      </c>
      <c r="B35" s="296"/>
      <c r="C35" s="159" t="s">
        <v>934</v>
      </c>
      <c r="D35" s="348"/>
      <c r="E35" s="338">
        <v>274914</v>
      </c>
    </row>
    <row r="36" spans="1:5" ht="15.6">
      <c r="A36" s="448">
        <v>46091</v>
      </c>
      <c r="B36" s="296"/>
      <c r="C36" s="159" t="s">
        <v>935</v>
      </c>
      <c r="D36" s="348"/>
      <c r="E36" s="338">
        <v>187886</v>
      </c>
    </row>
    <row r="37" spans="1:5" ht="15.6">
      <c r="A37" s="448">
        <v>46091</v>
      </c>
      <c r="B37" s="296"/>
      <c r="C37" s="159" t="s">
        <v>1014</v>
      </c>
      <c r="D37" s="348"/>
      <c r="E37" s="120">
        <v>150000</v>
      </c>
    </row>
    <row r="38" spans="1:5" ht="15.6">
      <c r="A38" s="448">
        <v>46091</v>
      </c>
      <c r="B38" s="296"/>
      <c r="C38" s="159" t="s">
        <v>1015</v>
      </c>
      <c r="D38" s="348"/>
      <c r="E38" s="352">
        <v>150000</v>
      </c>
    </row>
    <row r="39" spans="1:5" ht="15.6">
      <c r="A39" s="448">
        <v>46091</v>
      </c>
      <c r="B39" s="296"/>
      <c r="C39" s="159" t="s">
        <v>1016</v>
      </c>
      <c r="D39" s="348"/>
      <c r="E39" s="352">
        <v>150000</v>
      </c>
    </row>
    <row r="40" spans="1:5" ht="15.6">
      <c r="A40" s="448">
        <v>46091</v>
      </c>
      <c r="B40" s="296"/>
      <c r="C40" s="350" t="s">
        <v>1012</v>
      </c>
      <c r="D40" s="348"/>
      <c r="E40" s="338">
        <v>260000</v>
      </c>
    </row>
    <row r="41" spans="1:5" ht="15.6">
      <c r="A41" s="448">
        <v>46091</v>
      </c>
      <c r="B41" s="296"/>
      <c r="C41" s="350" t="s">
        <v>1011</v>
      </c>
      <c r="D41" s="348"/>
      <c r="E41" s="338">
        <v>500000</v>
      </c>
    </row>
    <row r="42" spans="1:5" ht="15.6">
      <c r="A42" s="448">
        <v>46091</v>
      </c>
      <c r="B42" s="296"/>
      <c r="C42" s="159" t="s">
        <v>936</v>
      </c>
      <c r="D42" s="348"/>
      <c r="E42" s="338">
        <v>10665</v>
      </c>
    </row>
    <row r="43" spans="1:5" ht="15.6">
      <c r="A43" s="448">
        <v>46091</v>
      </c>
      <c r="B43" s="296"/>
      <c r="C43" s="159" t="s">
        <v>937</v>
      </c>
      <c r="D43" s="348"/>
      <c r="E43" s="338">
        <v>10665</v>
      </c>
    </row>
    <row r="44" spans="1:5" ht="15.6">
      <c r="A44" s="448">
        <v>46093</v>
      </c>
      <c r="B44" s="296"/>
      <c r="C44" s="215" t="s">
        <v>938</v>
      </c>
      <c r="D44" s="348"/>
      <c r="E44" s="338">
        <v>2000000</v>
      </c>
    </row>
    <row r="45" spans="1:5" ht="15.6">
      <c r="A45" s="448">
        <v>46100</v>
      </c>
      <c r="B45" s="296"/>
      <c r="C45" s="447" t="s">
        <v>939</v>
      </c>
      <c r="D45" s="348"/>
      <c r="E45" s="338">
        <v>217164</v>
      </c>
    </row>
    <row r="46" spans="1:5" ht="15.6">
      <c r="A46" s="448">
        <v>46107</v>
      </c>
      <c r="B46" s="296"/>
      <c r="C46" s="159" t="s">
        <v>1013</v>
      </c>
      <c r="D46" s="348"/>
      <c r="E46" s="338">
        <v>228800</v>
      </c>
    </row>
    <row r="47" spans="1:5" ht="15.6">
      <c r="A47" s="448">
        <v>46107</v>
      </c>
      <c r="B47" s="296"/>
      <c r="C47" s="339" t="s">
        <v>941</v>
      </c>
      <c r="D47" s="348"/>
      <c r="E47" s="338">
        <v>581764</v>
      </c>
    </row>
    <row r="48" spans="1:5" ht="15.6">
      <c r="A48" s="448">
        <v>46107</v>
      </c>
      <c r="B48" s="296"/>
      <c r="C48" s="159" t="s">
        <v>942</v>
      </c>
      <c r="D48" s="348"/>
      <c r="E48" s="338">
        <v>563119</v>
      </c>
    </row>
    <row r="49" spans="1:5" ht="15.6">
      <c r="A49" s="448">
        <v>46107</v>
      </c>
      <c r="B49" s="296"/>
      <c r="C49" s="159" t="s">
        <v>943</v>
      </c>
      <c r="D49" s="348"/>
      <c r="E49" s="338">
        <v>268210</v>
      </c>
    </row>
    <row r="50" spans="1:5" ht="15.6">
      <c r="A50" s="448">
        <v>46107</v>
      </c>
      <c r="B50" s="296"/>
      <c r="C50" s="159" t="s">
        <v>944</v>
      </c>
      <c r="D50" s="348"/>
      <c r="E50" s="338">
        <v>1311000</v>
      </c>
    </row>
    <row r="51" spans="1:5" ht="15.6">
      <c r="A51" s="448">
        <v>46107</v>
      </c>
      <c r="B51" s="296"/>
      <c r="C51" s="159" t="s">
        <v>945</v>
      </c>
      <c r="D51" s="348"/>
      <c r="E51" s="338">
        <v>328800</v>
      </c>
    </row>
    <row r="52" spans="1:5" ht="15.6">
      <c r="A52" s="448">
        <v>46107</v>
      </c>
      <c r="B52" s="296"/>
      <c r="C52" s="215" t="s">
        <v>864</v>
      </c>
      <c r="D52" s="348"/>
      <c r="E52" s="338">
        <v>2000000</v>
      </c>
    </row>
    <row r="53" spans="1:5" ht="15.6">
      <c r="A53" s="448">
        <v>46107</v>
      </c>
      <c r="B53" s="296"/>
      <c r="C53" s="159" t="s">
        <v>946</v>
      </c>
      <c r="D53" s="348"/>
      <c r="E53" s="338">
        <v>10665</v>
      </c>
    </row>
    <row r="54" spans="1:5" ht="15.6">
      <c r="A54" s="448">
        <v>46111</v>
      </c>
      <c r="B54" s="296"/>
      <c r="C54" s="339" t="s">
        <v>947</v>
      </c>
      <c r="D54" s="348"/>
      <c r="E54" s="338">
        <v>225000</v>
      </c>
    </row>
    <row r="55" spans="1:5" ht="15.6">
      <c r="A55" s="370"/>
      <c r="B55" s="353"/>
      <c r="C55" s="243"/>
      <c r="D55" s="367"/>
      <c r="E55" s="369"/>
    </row>
    <row r="56" spans="1:5" ht="15.6">
      <c r="A56" s="370"/>
      <c r="B56" s="353"/>
      <c r="C56" s="243"/>
      <c r="D56" s="367"/>
      <c r="E56" s="369"/>
    </row>
    <row r="57" spans="1:5" ht="16.2" thickBot="1">
      <c r="A57" s="370"/>
      <c r="B57" s="353"/>
      <c r="C57" s="243"/>
      <c r="D57" s="367"/>
      <c r="E57" s="369"/>
    </row>
    <row r="58" spans="1:5" ht="16.2" thickBot="1">
      <c r="A58" s="302"/>
      <c r="B58" s="303"/>
      <c r="C58" s="304" t="s">
        <v>41</v>
      </c>
      <c r="D58" s="305">
        <f>SUM(D10:D54)-SUM(E10:E54)</f>
        <v>12780519</v>
      </c>
      <c r="E58" s="306"/>
    </row>
    <row r="59" spans="1:5" ht="15.6" thickBot="1">
      <c r="A59" s="307"/>
      <c r="B59" s="308"/>
      <c r="C59" s="128"/>
      <c r="D59" s="309"/>
      <c r="E59" s="309"/>
    </row>
    <row r="60" spans="1:5" ht="15.6">
      <c r="A60" s="310"/>
      <c r="B60" s="282"/>
      <c r="C60" s="311" t="s">
        <v>42</v>
      </c>
      <c r="D60" s="299"/>
      <c r="E60" s="312"/>
    </row>
    <row r="61" spans="1:5" ht="15.6">
      <c r="A61" s="310"/>
      <c r="B61" s="282"/>
      <c r="C61" s="311"/>
      <c r="D61" s="299"/>
      <c r="E61" s="309">
        <f>D57-E57</f>
        <v>0</v>
      </c>
    </row>
    <row r="62" spans="1:5" ht="15.6">
      <c r="A62" s="313"/>
      <c r="B62" s="313"/>
      <c r="C62" s="314"/>
      <c r="D62" s="299"/>
      <c r="E62" s="315"/>
    </row>
    <row r="63" spans="1:5" ht="15.6">
      <c r="A63" s="316"/>
      <c r="B63" s="316"/>
      <c r="C63" s="317" t="s">
        <v>55</v>
      </c>
      <c r="D63" s="299"/>
      <c r="E63" s="318"/>
    </row>
    <row r="64" spans="1:5" ht="15.6">
      <c r="A64" s="316"/>
      <c r="B64" s="316"/>
      <c r="C64" s="319"/>
      <c r="D64" s="318"/>
      <c r="E64" s="318"/>
    </row>
    <row r="65" spans="1:5" ht="15.6">
      <c r="A65" s="316"/>
      <c r="B65" s="316"/>
      <c r="C65" s="511" t="s">
        <v>43</v>
      </c>
      <c r="D65" s="511"/>
      <c r="E65" s="511"/>
    </row>
    <row r="66" spans="1:5" ht="15">
      <c r="A66" s="316"/>
      <c r="B66" s="316"/>
      <c r="C66" s="320" t="s">
        <v>94</v>
      </c>
      <c r="D66" s="512"/>
      <c r="E66" s="512"/>
    </row>
    <row r="67" spans="1:5" ht="15">
      <c r="A67" s="321"/>
      <c r="B67" s="316"/>
      <c r="C67" s="312"/>
      <c r="D67" s="513"/>
      <c r="E67" s="513"/>
    </row>
    <row r="68" spans="1:5" ht="15">
      <c r="A68" s="316"/>
      <c r="B68" s="316"/>
      <c r="C68" s="320" t="s">
        <v>95</v>
      </c>
      <c r="D68" s="514"/>
      <c r="E68" s="514"/>
    </row>
    <row r="69" spans="1:5" ht="22.5" customHeight="1" thickBot="1">
      <c r="A69" s="316"/>
      <c r="B69" s="316"/>
      <c r="C69" s="211"/>
      <c r="D69" s="297"/>
      <c r="E69" s="297"/>
    </row>
    <row r="70" spans="1:5" ht="15.6">
      <c r="A70" s="322" t="s">
        <v>0</v>
      </c>
      <c r="B70" s="322" t="s">
        <v>44</v>
      </c>
      <c r="C70" s="317" t="s">
        <v>1</v>
      </c>
      <c r="D70" s="297" t="s">
        <v>45</v>
      </c>
      <c r="E70" s="297"/>
    </row>
    <row r="71" spans="1:5" ht="15">
      <c r="A71" s="211"/>
      <c r="B71" s="323"/>
      <c r="C71" s="211"/>
      <c r="D71" s="318"/>
      <c r="E71" s="318"/>
    </row>
    <row r="72" spans="1:5" ht="15.6">
      <c r="A72" s="211"/>
      <c r="B72" s="323"/>
      <c r="C72" s="317" t="s">
        <v>52</v>
      </c>
      <c r="D72" s="318">
        <f>D58</f>
        <v>12780519</v>
      </c>
      <c r="E72" s="318"/>
    </row>
    <row r="73" spans="1:5" ht="15">
      <c r="A73" s="211"/>
      <c r="B73" s="323"/>
      <c r="C73" s="211"/>
      <c r="D73" s="318"/>
      <c r="E73" s="318"/>
    </row>
    <row r="74" spans="1:5" ht="15">
      <c r="A74" s="211"/>
      <c r="B74" s="323"/>
      <c r="C74" s="211" t="s">
        <v>46</v>
      </c>
      <c r="D74" s="318"/>
      <c r="E74" s="318"/>
    </row>
    <row r="75" spans="1:5" ht="15.6">
      <c r="A75" s="211"/>
      <c r="B75" s="323"/>
      <c r="C75" s="317" t="s">
        <v>47</v>
      </c>
      <c r="D75" s="318"/>
      <c r="E75" s="318"/>
    </row>
    <row r="76" spans="1:5" ht="15.6">
      <c r="A76" s="295"/>
      <c r="B76" s="301"/>
      <c r="C76" s="243"/>
      <c r="D76" s="245"/>
      <c r="E76" s="298"/>
    </row>
    <row r="77" spans="1:5" ht="15.6">
      <c r="A77" s="211"/>
      <c r="B77" s="324"/>
      <c r="C77" s="211"/>
      <c r="D77" s="318"/>
      <c r="E77" s="318"/>
    </row>
    <row r="78" spans="1:5" ht="15.6">
      <c r="A78" s="211"/>
      <c r="B78" s="323"/>
      <c r="C78" s="317" t="s">
        <v>194</v>
      </c>
      <c r="D78" s="318"/>
      <c r="E78" s="318"/>
    </row>
    <row r="79" spans="1:5" ht="15.6">
      <c r="A79" s="295">
        <v>46091</v>
      </c>
      <c r="B79" s="301" t="s">
        <v>305</v>
      </c>
      <c r="C79" s="350" t="s">
        <v>993</v>
      </c>
      <c r="D79" s="325"/>
      <c r="E79" s="318">
        <v>-10665</v>
      </c>
    </row>
    <row r="80" spans="1:5" ht="15.6">
      <c r="A80" s="295">
        <v>46092</v>
      </c>
      <c r="B80" s="326"/>
      <c r="C80" s="350" t="s">
        <v>995</v>
      </c>
      <c r="D80" s="318"/>
      <c r="E80" s="318">
        <v>-10665</v>
      </c>
    </row>
    <row r="81" spans="1:5" ht="15.6">
      <c r="A81" s="295">
        <v>46107</v>
      </c>
      <c r="B81" s="326"/>
      <c r="C81" s="350" t="s">
        <v>994</v>
      </c>
      <c r="D81" s="318"/>
      <c r="E81" s="318">
        <v>-10665</v>
      </c>
    </row>
    <row r="82" spans="1:5" ht="15">
      <c r="A82" s="327"/>
      <c r="B82" s="328"/>
      <c r="C82" s="211"/>
      <c r="D82" s="318"/>
      <c r="E82" s="318"/>
    </row>
    <row r="83" spans="1:5" ht="15.6" thickBot="1">
      <c r="A83" s="329"/>
      <c r="B83" s="330"/>
      <c r="C83" s="211"/>
      <c r="D83" s="318"/>
      <c r="E83" s="318"/>
    </row>
    <row r="84" spans="1:5" ht="16.2" thickBot="1">
      <c r="A84" s="331">
        <v>46112</v>
      </c>
      <c r="B84" s="332"/>
      <c r="C84" s="317" t="s">
        <v>199</v>
      </c>
      <c r="D84" s="297">
        <f>SUM(D72:D83)</f>
        <v>12780519</v>
      </c>
      <c r="E84" s="333"/>
    </row>
    <row r="85" spans="1:5" ht="15.6">
      <c r="A85" s="316"/>
      <c r="B85" s="316"/>
      <c r="C85" s="211" t="s">
        <v>48</v>
      </c>
      <c r="D85" s="297">
        <v>12780519</v>
      </c>
      <c r="E85" s="334"/>
    </row>
    <row r="86" spans="1:5" ht="15">
      <c r="A86" s="316"/>
      <c r="B86" s="316"/>
      <c r="C86" s="211"/>
      <c r="D86" s="318"/>
      <c r="E86" s="318"/>
    </row>
    <row r="87" spans="1:5" ht="15.6">
      <c r="A87" s="316"/>
      <c r="B87" s="316"/>
      <c r="C87" s="317" t="s">
        <v>49</v>
      </c>
      <c r="D87" s="318">
        <f>D84-D85</f>
        <v>0</v>
      </c>
      <c r="E87" s="318"/>
    </row>
    <row r="88" spans="1:5" ht="15">
      <c r="A88" s="316"/>
      <c r="B88" s="316"/>
      <c r="C88" s="316" t="s">
        <v>50</v>
      </c>
      <c r="D88" s="335"/>
      <c r="E88" s="335"/>
    </row>
    <row r="89" spans="1:5" ht="15.6">
      <c r="A89" s="336" t="s">
        <v>53</v>
      </c>
      <c r="B89" s="336"/>
      <c r="C89" s="336"/>
      <c r="D89" s="336" t="s">
        <v>54</v>
      </c>
      <c r="E89" s="244"/>
    </row>
    <row r="90" spans="1:5" ht="17.399999999999999">
      <c r="A90" s="258"/>
      <c r="B90" s="258"/>
      <c r="C90" s="258"/>
      <c r="D90" s="258"/>
      <c r="E90" s="258"/>
    </row>
    <row r="91" spans="1:5" ht="17.399999999999999">
      <c r="A91" s="258"/>
      <c r="B91" s="258"/>
      <c r="C91" s="258"/>
      <c r="D91" s="258"/>
      <c r="E91" s="258"/>
    </row>
    <row r="92" spans="1:5" ht="17.399999999999999">
      <c r="A92" s="258"/>
      <c r="B92" s="258"/>
      <c r="C92" s="258"/>
      <c r="D92" s="258"/>
      <c r="E92" s="258"/>
    </row>
    <row r="93" spans="1:5" ht="17.399999999999999">
      <c r="A93" s="258"/>
      <c r="B93" s="258"/>
      <c r="C93" s="258"/>
      <c r="D93" s="258"/>
      <c r="E93" s="258"/>
    </row>
    <row r="94" spans="1:5" ht="18">
      <c r="A94" s="258"/>
      <c r="B94" s="258"/>
      <c r="C94" s="258"/>
      <c r="D94" s="258"/>
      <c r="E94" s="259"/>
    </row>
    <row r="95" spans="1:5" ht="14.4">
      <c r="E95" s="153"/>
    </row>
    <row r="96" spans="1:5" ht="14.4">
      <c r="E96" s="153"/>
    </row>
    <row r="97" spans="5:5" ht="14.4">
      <c r="E97" s="153"/>
    </row>
    <row r="98" spans="5:5" ht="14.4">
      <c r="E98" s="153"/>
    </row>
    <row r="99" spans="5:5" ht="14.4">
      <c r="E99" s="153"/>
    </row>
    <row r="100" spans="5:5">
      <c r="E100" s="154"/>
    </row>
  </sheetData>
  <autoFilter ref="A9:E54">
    <sortState ref="A10:E54">
      <sortCondition ref="A9:A54"/>
    </sortState>
  </autoFilter>
  <mergeCells count="5">
    <mergeCell ref="A7:E7"/>
    <mergeCell ref="C65:E65"/>
    <mergeCell ref="D66:E66"/>
    <mergeCell ref="D67:E67"/>
    <mergeCell ref="D68:E68"/>
  </mergeCells>
  <phoneticPr fontId="28" type="noConversion"/>
  <pageMargins left="0.7" right="0.7" top="0.78740157499999996" bottom="0.78740157499999996" header="0.3" footer="0.3"/>
  <pageSetup paperSize="9" scale="52" orientation="portrait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 filterMode="1"/>
  <dimension ref="A1:J116"/>
  <sheetViews>
    <sheetView zoomScale="90" zoomScaleNormal="90" workbookViewId="0">
      <selection activeCell="A108" sqref="A108:XFD108"/>
    </sheetView>
  </sheetViews>
  <sheetFormatPr baseColWidth="10" defaultColWidth="8.69921875" defaultRowHeight="13.8"/>
  <cols>
    <col min="1" max="1" width="16.09765625" customWidth="1"/>
    <col min="2" max="2" width="77.09765625" customWidth="1"/>
    <col min="3" max="3" width="20.69921875" customWidth="1"/>
    <col min="4" max="4" width="19.3984375" customWidth="1"/>
    <col min="5" max="7" width="17.09765625" style="71" customWidth="1"/>
    <col min="8" max="9" width="17.09765625" customWidth="1"/>
    <col min="10" max="10" width="23.3984375" customWidth="1"/>
  </cols>
  <sheetData>
    <row r="1" spans="1:10" ht="14.4">
      <c r="A1" s="66" t="s">
        <v>0</v>
      </c>
      <c r="B1" s="67" t="s">
        <v>1</v>
      </c>
      <c r="C1" s="1" t="s">
        <v>2</v>
      </c>
      <c r="D1" s="1" t="s">
        <v>3</v>
      </c>
      <c r="E1" s="87" t="s">
        <v>29</v>
      </c>
      <c r="F1" s="88" t="s">
        <v>12</v>
      </c>
      <c r="G1" s="88" t="s">
        <v>30</v>
      </c>
      <c r="H1" s="68" t="s">
        <v>10</v>
      </c>
      <c r="I1" s="68" t="s">
        <v>6</v>
      </c>
      <c r="J1" s="97" t="s">
        <v>70</v>
      </c>
    </row>
    <row r="2" spans="1:10" hidden="1">
      <c r="A2" s="125">
        <v>46082</v>
      </c>
      <c r="B2" s="126" t="s">
        <v>859</v>
      </c>
      <c r="C2" s="126"/>
      <c r="D2" s="126"/>
      <c r="E2" s="213"/>
      <c r="F2" s="214"/>
      <c r="G2" s="214">
        <v>16561</v>
      </c>
      <c r="H2" s="126"/>
      <c r="I2" s="126"/>
    </row>
    <row r="3" spans="1:10" ht="15.6">
      <c r="A3" s="425">
        <v>46083</v>
      </c>
      <c r="B3" s="215" t="s">
        <v>240</v>
      </c>
      <c r="C3" s="247" t="s">
        <v>102</v>
      </c>
      <c r="D3" s="242"/>
      <c r="E3" s="207"/>
      <c r="F3" s="208">
        <v>790000</v>
      </c>
      <c r="G3" s="214">
        <f t="shared" ref="G3:G66" si="0">G2+F3-E3</f>
        <v>806561</v>
      </c>
      <c r="H3" s="444" t="s">
        <v>107</v>
      </c>
      <c r="I3" s="124" t="s">
        <v>867</v>
      </c>
    </row>
    <row r="4" spans="1:10" ht="15.6">
      <c r="A4" s="425">
        <v>46083</v>
      </c>
      <c r="B4" s="215" t="s">
        <v>122</v>
      </c>
      <c r="C4" s="247" t="s">
        <v>102</v>
      </c>
      <c r="D4" s="242"/>
      <c r="E4" s="94">
        <v>75000</v>
      </c>
      <c r="F4" s="208"/>
      <c r="G4" s="214">
        <f t="shared" si="0"/>
        <v>731561</v>
      </c>
      <c r="H4" s="426" t="s">
        <v>122</v>
      </c>
      <c r="I4" s="124" t="s">
        <v>868</v>
      </c>
    </row>
    <row r="5" spans="1:10">
      <c r="A5" s="425">
        <v>46083</v>
      </c>
      <c r="B5" s="124" t="s">
        <v>131</v>
      </c>
      <c r="C5" s="124" t="s">
        <v>102</v>
      </c>
      <c r="D5" s="343"/>
      <c r="E5" s="94">
        <v>80000</v>
      </c>
      <c r="F5" s="208"/>
      <c r="G5" s="214">
        <f t="shared" si="0"/>
        <v>651561</v>
      </c>
      <c r="H5" s="426" t="s">
        <v>131</v>
      </c>
      <c r="I5" s="124" t="s">
        <v>869</v>
      </c>
    </row>
    <row r="6" spans="1:10" hidden="1">
      <c r="A6" s="425">
        <v>46083</v>
      </c>
      <c r="B6" s="75" t="s">
        <v>860</v>
      </c>
      <c r="C6" s="124" t="s">
        <v>110</v>
      </c>
      <c r="D6" s="124" t="s">
        <v>98</v>
      </c>
      <c r="E6" s="94">
        <v>37500</v>
      </c>
      <c r="F6" s="208"/>
      <c r="G6" s="214">
        <f t="shared" si="0"/>
        <v>614061</v>
      </c>
      <c r="H6" s="444" t="s">
        <v>198</v>
      </c>
      <c r="I6" s="403" t="s">
        <v>239</v>
      </c>
    </row>
    <row r="7" spans="1:10">
      <c r="A7" s="425">
        <v>46083</v>
      </c>
      <c r="B7" s="124" t="s">
        <v>111</v>
      </c>
      <c r="C7" s="124" t="s">
        <v>102</v>
      </c>
      <c r="D7" s="75"/>
      <c r="E7" s="94">
        <v>250000</v>
      </c>
      <c r="F7" s="208"/>
      <c r="G7" s="214">
        <f t="shared" si="0"/>
        <v>364061</v>
      </c>
      <c r="H7" s="444" t="s">
        <v>111</v>
      </c>
      <c r="I7" s="124" t="s">
        <v>870</v>
      </c>
    </row>
    <row r="8" spans="1:10">
      <c r="A8" s="425">
        <v>46083</v>
      </c>
      <c r="B8" s="75" t="s">
        <v>131</v>
      </c>
      <c r="C8" s="75" t="s">
        <v>102</v>
      </c>
      <c r="D8" s="75"/>
      <c r="E8" s="94">
        <v>15000</v>
      </c>
      <c r="F8" s="208"/>
      <c r="G8" s="214">
        <f t="shared" si="0"/>
        <v>349061</v>
      </c>
      <c r="H8" s="444" t="s">
        <v>131</v>
      </c>
      <c r="I8" s="124" t="s">
        <v>871</v>
      </c>
    </row>
    <row r="9" spans="1:10">
      <c r="A9" s="425">
        <v>46085</v>
      </c>
      <c r="B9" s="124" t="s">
        <v>122</v>
      </c>
      <c r="C9" s="75" t="s">
        <v>102</v>
      </c>
      <c r="D9" s="75"/>
      <c r="E9" s="94">
        <v>71000</v>
      </c>
      <c r="F9" s="208"/>
      <c r="G9" s="214">
        <f t="shared" si="0"/>
        <v>278061</v>
      </c>
      <c r="H9" s="444" t="s">
        <v>122</v>
      </c>
      <c r="I9" s="124" t="s">
        <v>872</v>
      </c>
    </row>
    <row r="10" spans="1:10">
      <c r="A10" s="425">
        <v>46085</v>
      </c>
      <c r="B10" s="75" t="s">
        <v>131</v>
      </c>
      <c r="C10" s="124" t="s">
        <v>102</v>
      </c>
      <c r="D10" s="75"/>
      <c r="E10" s="94">
        <v>75000</v>
      </c>
      <c r="F10" s="208"/>
      <c r="G10" s="214">
        <f t="shared" si="0"/>
        <v>203061</v>
      </c>
      <c r="H10" s="75" t="s">
        <v>131</v>
      </c>
      <c r="I10" s="124" t="s">
        <v>873</v>
      </c>
    </row>
    <row r="11" spans="1:10" hidden="1">
      <c r="A11" s="425">
        <v>46085</v>
      </c>
      <c r="B11" s="124" t="s">
        <v>800</v>
      </c>
      <c r="C11" s="75" t="s">
        <v>463</v>
      </c>
      <c r="D11" s="75" t="s">
        <v>98</v>
      </c>
      <c r="E11" s="94">
        <v>2920</v>
      </c>
      <c r="F11" s="442"/>
      <c r="G11" s="214">
        <f t="shared" si="0"/>
        <v>200141</v>
      </c>
      <c r="H11" s="445" t="s">
        <v>124</v>
      </c>
      <c r="I11" s="403" t="s">
        <v>838</v>
      </c>
    </row>
    <row r="12" spans="1:10" hidden="1">
      <c r="A12" s="425">
        <v>46085</v>
      </c>
      <c r="B12" s="124" t="s">
        <v>443</v>
      </c>
      <c r="C12" s="124" t="s">
        <v>103</v>
      </c>
      <c r="D12" s="343" t="s">
        <v>98</v>
      </c>
      <c r="E12" s="94">
        <v>12750</v>
      </c>
      <c r="F12" s="208"/>
      <c r="G12" s="214">
        <f t="shared" si="0"/>
        <v>187391</v>
      </c>
      <c r="H12" s="426" t="s">
        <v>168</v>
      </c>
      <c r="I12" s="403" t="s">
        <v>513</v>
      </c>
    </row>
    <row r="13" spans="1:10">
      <c r="A13" s="425">
        <v>46085</v>
      </c>
      <c r="B13" s="75" t="s">
        <v>168</v>
      </c>
      <c r="C13" s="75" t="s">
        <v>102</v>
      </c>
      <c r="D13" s="75"/>
      <c r="E13" s="94">
        <v>25000</v>
      </c>
      <c r="F13" s="94"/>
      <c r="G13" s="214">
        <f t="shared" si="0"/>
        <v>162391</v>
      </c>
      <c r="H13" s="75" t="s">
        <v>168</v>
      </c>
      <c r="I13" s="124" t="s">
        <v>874</v>
      </c>
    </row>
    <row r="14" spans="1:10">
      <c r="A14" s="425">
        <v>46085</v>
      </c>
      <c r="B14" s="75" t="s">
        <v>123</v>
      </c>
      <c r="C14" s="75" t="s">
        <v>102</v>
      </c>
      <c r="D14" s="75"/>
      <c r="E14" s="94">
        <v>30000</v>
      </c>
      <c r="F14" s="94"/>
      <c r="G14" s="214">
        <f t="shared" si="0"/>
        <v>132391</v>
      </c>
      <c r="H14" s="75" t="s">
        <v>123</v>
      </c>
      <c r="I14" s="124" t="s">
        <v>875</v>
      </c>
    </row>
    <row r="15" spans="1:10" hidden="1">
      <c r="A15" s="425">
        <v>46085</v>
      </c>
      <c r="B15" s="75" t="s">
        <v>860</v>
      </c>
      <c r="C15" s="124" t="s">
        <v>110</v>
      </c>
      <c r="D15" s="124" t="s">
        <v>98</v>
      </c>
      <c r="E15" s="94">
        <v>16000</v>
      </c>
      <c r="F15" s="94"/>
      <c r="G15" s="214">
        <f t="shared" si="0"/>
        <v>116391</v>
      </c>
      <c r="H15" s="75" t="s">
        <v>198</v>
      </c>
      <c r="I15" s="75" t="s">
        <v>239</v>
      </c>
    </row>
    <row r="16" spans="1:10">
      <c r="A16" s="425">
        <v>46086</v>
      </c>
      <c r="B16" s="75" t="s">
        <v>111</v>
      </c>
      <c r="C16" s="75" t="s">
        <v>102</v>
      </c>
      <c r="D16" s="75"/>
      <c r="E16" s="94">
        <v>25000</v>
      </c>
      <c r="F16" s="94"/>
      <c r="G16" s="214">
        <f t="shared" si="0"/>
        <v>91391</v>
      </c>
      <c r="H16" s="75" t="s">
        <v>111</v>
      </c>
      <c r="I16" s="124" t="s">
        <v>876</v>
      </c>
    </row>
    <row r="17" spans="1:9" ht="15.6">
      <c r="A17" s="425">
        <v>46090</v>
      </c>
      <c r="B17" s="215" t="s">
        <v>240</v>
      </c>
      <c r="C17" s="75" t="s">
        <v>102</v>
      </c>
      <c r="D17" s="75"/>
      <c r="E17" s="94"/>
      <c r="F17" s="94">
        <v>2000000</v>
      </c>
      <c r="G17" s="214">
        <f t="shared" si="0"/>
        <v>2091391</v>
      </c>
      <c r="H17" s="75" t="s">
        <v>107</v>
      </c>
      <c r="I17" s="124" t="s">
        <v>877</v>
      </c>
    </row>
    <row r="18" spans="1:9">
      <c r="A18" s="425">
        <v>46090</v>
      </c>
      <c r="B18" s="75" t="s">
        <v>123</v>
      </c>
      <c r="C18" s="75" t="s">
        <v>102</v>
      </c>
      <c r="D18" s="75"/>
      <c r="E18" s="94">
        <v>110000</v>
      </c>
      <c r="F18" s="94"/>
      <c r="G18" s="214">
        <f t="shared" si="0"/>
        <v>1981391</v>
      </c>
      <c r="H18" s="75" t="s">
        <v>123</v>
      </c>
      <c r="I18" s="124" t="s">
        <v>878</v>
      </c>
    </row>
    <row r="19" spans="1:9">
      <c r="A19" s="425">
        <v>46090</v>
      </c>
      <c r="B19" s="75" t="s">
        <v>131</v>
      </c>
      <c r="C19" s="75" t="s">
        <v>102</v>
      </c>
      <c r="D19" s="75"/>
      <c r="E19" s="94">
        <v>110000</v>
      </c>
      <c r="F19" s="94"/>
      <c r="G19" s="214">
        <f t="shared" si="0"/>
        <v>1871391</v>
      </c>
      <c r="H19" s="75" t="s">
        <v>131</v>
      </c>
      <c r="I19" s="124" t="s">
        <v>879</v>
      </c>
    </row>
    <row r="20" spans="1:9">
      <c r="A20" s="425">
        <v>46090</v>
      </c>
      <c r="B20" s="75" t="s">
        <v>122</v>
      </c>
      <c r="C20" s="75" t="s">
        <v>102</v>
      </c>
      <c r="D20" s="75"/>
      <c r="E20" s="94">
        <v>110000</v>
      </c>
      <c r="F20" s="94"/>
      <c r="G20" s="214">
        <f t="shared" si="0"/>
        <v>1761391</v>
      </c>
      <c r="H20" s="75" t="s">
        <v>122</v>
      </c>
      <c r="I20" s="124" t="s">
        <v>880</v>
      </c>
    </row>
    <row r="21" spans="1:9">
      <c r="A21" s="425">
        <v>46090</v>
      </c>
      <c r="B21" s="75" t="s">
        <v>122</v>
      </c>
      <c r="C21" s="75" t="s">
        <v>102</v>
      </c>
      <c r="D21" s="75"/>
      <c r="E21" s="94"/>
      <c r="F21" s="94">
        <v>30000</v>
      </c>
      <c r="G21" s="214">
        <f t="shared" si="0"/>
        <v>1791391</v>
      </c>
      <c r="H21" s="75" t="s">
        <v>122</v>
      </c>
      <c r="I21" s="124" t="s">
        <v>881</v>
      </c>
    </row>
    <row r="22" spans="1:9" hidden="1">
      <c r="A22" s="425">
        <v>46090</v>
      </c>
      <c r="B22" s="75" t="s">
        <v>801</v>
      </c>
      <c r="C22" s="75" t="s">
        <v>120</v>
      </c>
      <c r="D22" s="75" t="s">
        <v>98</v>
      </c>
      <c r="E22" s="94">
        <v>62500</v>
      </c>
      <c r="F22" s="94"/>
      <c r="G22" s="214">
        <f t="shared" si="0"/>
        <v>1728891</v>
      </c>
      <c r="H22" s="75" t="s">
        <v>124</v>
      </c>
      <c r="I22" s="403" t="s">
        <v>839</v>
      </c>
    </row>
    <row r="23" spans="1:9" hidden="1">
      <c r="A23" s="425">
        <v>46090</v>
      </c>
      <c r="B23" s="413" t="s">
        <v>745</v>
      </c>
      <c r="C23" s="75" t="s">
        <v>104</v>
      </c>
      <c r="D23" s="75" t="s">
        <v>865</v>
      </c>
      <c r="E23" s="94">
        <v>132280</v>
      </c>
      <c r="F23" s="94"/>
      <c r="G23" s="214">
        <f t="shared" si="0"/>
        <v>1596611</v>
      </c>
      <c r="H23" s="75" t="s">
        <v>129</v>
      </c>
      <c r="I23" s="75" t="s">
        <v>787</v>
      </c>
    </row>
    <row r="24" spans="1:9" hidden="1">
      <c r="A24" s="425">
        <v>46090</v>
      </c>
      <c r="B24" s="413" t="s">
        <v>695</v>
      </c>
      <c r="C24" s="413" t="s">
        <v>104</v>
      </c>
      <c r="D24" s="413" t="s">
        <v>97</v>
      </c>
      <c r="E24" s="94">
        <v>127070</v>
      </c>
      <c r="F24" s="94"/>
      <c r="G24" s="214">
        <f t="shared" si="0"/>
        <v>1469541</v>
      </c>
      <c r="H24" s="75" t="s">
        <v>127</v>
      </c>
      <c r="I24" s="75" t="s">
        <v>729</v>
      </c>
    </row>
    <row r="25" spans="1:9" hidden="1">
      <c r="A25" s="425">
        <v>46090</v>
      </c>
      <c r="B25" s="413" t="s">
        <v>395</v>
      </c>
      <c r="C25" s="413" t="s">
        <v>104</v>
      </c>
      <c r="D25" s="413" t="s">
        <v>97</v>
      </c>
      <c r="E25" s="94">
        <v>154370</v>
      </c>
      <c r="F25" s="94"/>
      <c r="G25" s="214">
        <f t="shared" si="0"/>
        <v>1315171</v>
      </c>
      <c r="H25" s="75" t="s">
        <v>882</v>
      </c>
      <c r="I25" s="75" t="s">
        <v>426</v>
      </c>
    </row>
    <row r="26" spans="1:9" hidden="1">
      <c r="A26" s="425">
        <v>46090</v>
      </c>
      <c r="B26" s="413" t="s">
        <v>692</v>
      </c>
      <c r="C26" s="413" t="s">
        <v>104</v>
      </c>
      <c r="D26" s="413" t="s">
        <v>97</v>
      </c>
      <c r="E26" s="94">
        <v>127070</v>
      </c>
      <c r="F26" s="94"/>
      <c r="G26" s="214">
        <f t="shared" si="0"/>
        <v>1188101</v>
      </c>
      <c r="H26" s="75" t="s">
        <v>126</v>
      </c>
      <c r="I26" s="75" t="s">
        <v>693</v>
      </c>
    </row>
    <row r="27" spans="1:9" hidden="1">
      <c r="A27" s="425">
        <v>46090</v>
      </c>
      <c r="B27" s="413" t="s">
        <v>690</v>
      </c>
      <c r="C27" s="413" t="s">
        <v>104</v>
      </c>
      <c r="D27" s="413" t="s">
        <v>97</v>
      </c>
      <c r="E27" s="94">
        <v>127070</v>
      </c>
      <c r="F27" s="94"/>
      <c r="G27" s="214">
        <f t="shared" si="0"/>
        <v>1061031</v>
      </c>
      <c r="H27" s="75" t="s">
        <v>125</v>
      </c>
      <c r="I27" s="75" t="s">
        <v>691</v>
      </c>
    </row>
    <row r="28" spans="1:9" hidden="1">
      <c r="A28" s="425">
        <v>46090</v>
      </c>
      <c r="B28" s="413" t="s">
        <v>448</v>
      </c>
      <c r="C28" s="75" t="s">
        <v>104</v>
      </c>
      <c r="D28" s="75" t="s">
        <v>866</v>
      </c>
      <c r="E28" s="94">
        <v>68800</v>
      </c>
      <c r="F28" s="94"/>
      <c r="G28" s="214">
        <f t="shared" si="0"/>
        <v>992231</v>
      </c>
      <c r="H28" s="75" t="s">
        <v>168</v>
      </c>
      <c r="I28" s="75" t="s">
        <v>514</v>
      </c>
    </row>
    <row r="29" spans="1:9" hidden="1">
      <c r="A29" s="425">
        <v>46091</v>
      </c>
      <c r="B29" s="75" t="s">
        <v>861</v>
      </c>
      <c r="C29" s="124" t="s">
        <v>110</v>
      </c>
      <c r="D29" s="124" t="s">
        <v>98</v>
      </c>
      <c r="E29" s="94">
        <v>65000</v>
      </c>
      <c r="F29" s="94"/>
      <c r="G29" s="214">
        <f t="shared" si="0"/>
        <v>927231</v>
      </c>
      <c r="H29" s="75" t="s">
        <v>198</v>
      </c>
      <c r="I29" s="75" t="s">
        <v>239</v>
      </c>
    </row>
    <row r="30" spans="1:9">
      <c r="A30" s="425">
        <v>46092</v>
      </c>
      <c r="B30" s="75" t="s">
        <v>123</v>
      </c>
      <c r="C30" s="75" t="s">
        <v>102</v>
      </c>
      <c r="D30" s="413"/>
      <c r="E30" s="94">
        <v>103000</v>
      </c>
      <c r="F30" s="94"/>
      <c r="G30" s="214">
        <f t="shared" si="0"/>
        <v>824231</v>
      </c>
      <c r="H30" s="75" t="s">
        <v>123</v>
      </c>
      <c r="I30" s="124" t="s">
        <v>883</v>
      </c>
    </row>
    <row r="31" spans="1:9">
      <c r="A31" s="425">
        <v>46092</v>
      </c>
      <c r="B31" s="75" t="s">
        <v>131</v>
      </c>
      <c r="C31" s="75" t="s">
        <v>102</v>
      </c>
      <c r="D31" s="413"/>
      <c r="E31" s="94">
        <v>103000</v>
      </c>
      <c r="F31" s="94"/>
      <c r="G31" s="214">
        <f t="shared" si="0"/>
        <v>721231</v>
      </c>
      <c r="H31" s="75" t="s">
        <v>131</v>
      </c>
      <c r="I31" s="124" t="s">
        <v>884</v>
      </c>
    </row>
    <row r="32" spans="1:9" hidden="1">
      <c r="A32" s="425">
        <v>46092</v>
      </c>
      <c r="B32" s="124" t="s">
        <v>803</v>
      </c>
      <c r="C32" s="75" t="s">
        <v>463</v>
      </c>
      <c r="D32" s="75" t="s">
        <v>98</v>
      </c>
      <c r="E32" s="94">
        <v>6180</v>
      </c>
      <c r="F32" s="94"/>
      <c r="G32" s="214">
        <f t="shared" si="0"/>
        <v>715051</v>
      </c>
      <c r="H32" s="75" t="s">
        <v>124</v>
      </c>
      <c r="I32" s="403" t="s">
        <v>841</v>
      </c>
    </row>
    <row r="33" spans="1:9" hidden="1">
      <c r="A33" s="425">
        <v>46092</v>
      </c>
      <c r="B33" s="75" t="s">
        <v>453</v>
      </c>
      <c r="C33" s="75" t="s">
        <v>130</v>
      </c>
      <c r="D33" s="75" t="s">
        <v>98</v>
      </c>
      <c r="E33" s="94">
        <v>80000</v>
      </c>
      <c r="F33" s="94"/>
      <c r="G33" s="214">
        <f t="shared" si="0"/>
        <v>635051</v>
      </c>
      <c r="H33" s="75" t="s">
        <v>168</v>
      </c>
      <c r="I33" s="403" t="s">
        <v>516</v>
      </c>
    </row>
    <row r="34" spans="1:9">
      <c r="A34" s="425">
        <v>46093</v>
      </c>
      <c r="B34" s="75" t="s">
        <v>122</v>
      </c>
      <c r="C34" s="75" t="s">
        <v>102</v>
      </c>
      <c r="D34" s="75"/>
      <c r="E34" s="94">
        <v>113000</v>
      </c>
      <c r="F34" s="94"/>
      <c r="G34" s="214">
        <f t="shared" si="0"/>
        <v>522051</v>
      </c>
      <c r="H34" s="75" t="s">
        <v>122</v>
      </c>
      <c r="I34" s="124" t="s">
        <v>885</v>
      </c>
    </row>
    <row r="35" spans="1:9" hidden="1">
      <c r="A35" s="425">
        <v>46093</v>
      </c>
      <c r="B35" s="124" t="s">
        <v>462</v>
      </c>
      <c r="C35" s="75" t="s">
        <v>463</v>
      </c>
      <c r="D35" s="75" t="s">
        <v>98</v>
      </c>
      <c r="E35" s="94">
        <v>3390</v>
      </c>
      <c r="F35" s="94"/>
      <c r="G35" s="214">
        <f t="shared" si="0"/>
        <v>518661</v>
      </c>
      <c r="H35" s="75" t="s">
        <v>124</v>
      </c>
      <c r="I35" s="403" t="s">
        <v>842</v>
      </c>
    </row>
    <row r="36" spans="1:9" ht="15.6">
      <c r="A36" s="425">
        <v>46093</v>
      </c>
      <c r="B36" s="215" t="s">
        <v>240</v>
      </c>
      <c r="C36" s="75" t="s">
        <v>102</v>
      </c>
      <c r="D36" s="75"/>
      <c r="E36" s="94"/>
      <c r="F36" s="94">
        <v>2000000</v>
      </c>
      <c r="G36" s="214">
        <f t="shared" si="0"/>
        <v>2518661</v>
      </c>
      <c r="H36" s="75" t="s">
        <v>107</v>
      </c>
      <c r="I36" s="124" t="s">
        <v>886</v>
      </c>
    </row>
    <row r="37" spans="1:9">
      <c r="A37" s="425">
        <v>46093</v>
      </c>
      <c r="B37" s="75" t="s">
        <v>111</v>
      </c>
      <c r="C37" s="75" t="s">
        <v>102</v>
      </c>
      <c r="D37" s="75"/>
      <c r="E37" s="94">
        <v>830000</v>
      </c>
      <c r="F37" s="94"/>
      <c r="G37" s="214">
        <f t="shared" si="0"/>
        <v>1688661</v>
      </c>
      <c r="H37" s="75" t="s">
        <v>111</v>
      </c>
      <c r="I37" s="124" t="s">
        <v>887</v>
      </c>
    </row>
    <row r="38" spans="1:9" hidden="1">
      <c r="A38" s="425">
        <v>46093</v>
      </c>
      <c r="B38" s="124" t="s">
        <v>805</v>
      </c>
      <c r="C38" s="75" t="s">
        <v>120</v>
      </c>
      <c r="D38" s="75" t="s">
        <v>98</v>
      </c>
      <c r="E38" s="94">
        <v>24000</v>
      </c>
      <c r="F38" s="94"/>
      <c r="G38" s="214">
        <f t="shared" si="0"/>
        <v>1664661</v>
      </c>
      <c r="H38" s="75" t="s">
        <v>124</v>
      </c>
      <c r="I38" s="403" t="s">
        <v>843</v>
      </c>
    </row>
    <row r="39" spans="1:9" ht="15.6" hidden="1">
      <c r="A39" s="425">
        <v>46094</v>
      </c>
      <c r="B39" s="170" t="s">
        <v>747</v>
      </c>
      <c r="C39" s="124" t="s">
        <v>748</v>
      </c>
      <c r="D39" s="124" t="s">
        <v>100</v>
      </c>
      <c r="E39" s="94">
        <v>6000</v>
      </c>
      <c r="F39" s="94"/>
      <c r="G39" s="214">
        <f t="shared" si="0"/>
        <v>1658661</v>
      </c>
      <c r="H39" s="75" t="s">
        <v>129</v>
      </c>
      <c r="I39" s="75" t="s">
        <v>789</v>
      </c>
    </row>
    <row r="40" spans="1:9" ht="15.6" hidden="1">
      <c r="A40" s="425">
        <v>46094</v>
      </c>
      <c r="B40" s="170" t="s">
        <v>749</v>
      </c>
      <c r="C40" s="124" t="s">
        <v>748</v>
      </c>
      <c r="D40" s="124" t="s">
        <v>100</v>
      </c>
      <c r="E40" s="94">
        <v>6000</v>
      </c>
      <c r="F40" s="94"/>
      <c r="G40" s="214">
        <f t="shared" si="0"/>
        <v>1652661</v>
      </c>
      <c r="H40" s="75" t="s">
        <v>129</v>
      </c>
      <c r="I40" s="75" t="s">
        <v>789</v>
      </c>
    </row>
    <row r="41" spans="1:9" ht="15.6" hidden="1">
      <c r="A41" s="425">
        <v>46094</v>
      </c>
      <c r="B41" s="170" t="s">
        <v>750</v>
      </c>
      <c r="C41" s="124" t="s">
        <v>748</v>
      </c>
      <c r="D41" s="124" t="s">
        <v>100</v>
      </c>
      <c r="E41" s="94">
        <v>6000</v>
      </c>
      <c r="F41" s="94"/>
      <c r="G41" s="214">
        <f t="shared" si="0"/>
        <v>1646661</v>
      </c>
      <c r="H41" s="75" t="s">
        <v>129</v>
      </c>
      <c r="I41" s="75" t="s">
        <v>789</v>
      </c>
    </row>
    <row r="42" spans="1:9" ht="15.6" hidden="1">
      <c r="A42" s="425">
        <v>46094</v>
      </c>
      <c r="B42" s="170" t="s">
        <v>751</v>
      </c>
      <c r="C42" s="124" t="s">
        <v>748</v>
      </c>
      <c r="D42" s="124" t="s">
        <v>100</v>
      </c>
      <c r="E42" s="94">
        <v>6000</v>
      </c>
      <c r="F42" s="94"/>
      <c r="G42" s="214">
        <f t="shared" si="0"/>
        <v>1640661</v>
      </c>
      <c r="H42" s="75" t="s">
        <v>129</v>
      </c>
      <c r="I42" s="75" t="s">
        <v>789</v>
      </c>
    </row>
    <row r="43" spans="1:9" ht="15.6" hidden="1">
      <c r="A43" s="425">
        <v>46094</v>
      </c>
      <c r="B43" s="170" t="s">
        <v>752</v>
      </c>
      <c r="C43" s="124" t="s">
        <v>748</v>
      </c>
      <c r="D43" s="124" t="s">
        <v>100</v>
      </c>
      <c r="E43" s="94">
        <v>6000</v>
      </c>
      <c r="F43" s="94"/>
      <c r="G43" s="214">
        <f t="shared" si="0"/>
        <v>1634661</v>
      </c>
      <c r="H43" s="75" t="s">
        <v>129</v>
      </c>
      <c r="I43" s="75" t="s">
        <v>789</v>
      </c>
    </row>
    <row r="44" spans="1:9" ht="15.6" hidden="1">
      <c r="A44" s="425">
        <v>46094</v>
      </c>
      <c r="B44" s="170" t="s">
        <v>753</v>
      </c>
      <c r="C44" s="124" t="s">
        <v>748</v>
      </c>
      <c r="D44" s="124" t="s">
        <v>100</v>
      </c>
      <c r="E44" s="94">
        <v>6000</v>
      </c>
      <c r="F44" s="94"/>
      <c r="G44" s="214">
        <f t="shared" si="0"/>
        <v>1628661</v>
      </c>
      <c r="H44" s="75" t="s">
        <v>129</v>
      </c>
      <c r="I44" s="75" t="s">
        <v>789</v>
      </c>
    </row>
    <row r="45" spans="1:9" ht="15.6" hidden="1">
      <c r="A45" s="425">
        <v>46094</v>
      </c>
      <c r="B45" s="170" t="s">
        <v>754</v>
      </c>
      <c r="C45" s="124" t="s">
        <v>748</v>
      </c>
      <c r="D45" s="124" t="s">
        <v>100</v>
      </c>
      <c r="E45" s="94">
        <v>6000</v>
      </c>
      <c r="F45" s="94"/>
      <c r="G45" s="214">
        <f t="shared" si="0"/>
        <v>1622661</v>
      </c>
      <c r="H45" s="75" t="s">
        <v>129</v>
      </c>
      <c r="I45" s="75" t="s">
        <v>789</v>
      </c>
    </row>
    <row r="46" spans="1:9" ht="15.6" hidden="1">
      <c r="A46" s="425">
        <v>46094</v>
      </c>
      <c r="B46" s="170" t="s">
        <v>755</v>
      </c>
      <c r="C46" s="124" t="s">
        <v>748</v>
      </c>
      <c r="D46" s="124" t="s">
        <v>100</v>
      </c>
      <c r="E46" s="94">
        <v>6000</v>
      </c>
      <c r="F46" s="94"/>
      <c r="G46" s="214">
        <f t="shared" si="0"/>
        <v>1616661</v>
      </c>
      <c r="H46" s="75" t="s">
        <v>129</v>
      </c>
      <c r="I46" s="75" t="s">
        <v>789</v>
      </c>
    </row>
    <row r="47" spans="1:9" ht="15.6" hidden="1">
      <c r="A47" s="425">
        <v>46094</v>
      </c>
      <c r="B47" s="170" t="s">
        <v>756</v>
      </c>
      <c r="C47" s="124" t="s">
        <v>748</v>
      </c>
      <c r="D47" s="124" t="s">
        <v>100</v>
      </c>
      <c r="E47" s="94">
        <v>6000</v>
      </c>
      <c r="F47" s="94"/>
      <c r="G47" s="214">
        <f t="shared" si="0"/>
        <v>1610661</v>
      </c>
      <c r="H47" s="75" t="s">
        <v>129</v>
      </c>
      <c r="I47" s="75" t="s">
        <v>789</v>
      </c>
    </row>
    <row r="48" spans="1:9" ht="15.6" hidden="1">
      <c r="A48" s="425">
        <v>46094</v>
      </c>
      <c r="B48" s="170" t="s">
        <v>757</v>
      </c>
      <c r="C48" s="124" t="s">
        <v>748</v>
      </c>
      <c r="D48" s="124" t="s">
        <v>100</v>
      </c>
      <c r="E48" s="94">
        <v>6000</v>
      </c>
      <c r="F48" s="94"/>
      <c r="G48" s="214">
        <f t="shared" si="0"/>
        <v>1604661</v>
      </c>
      <c r="H48" s="75" t="s">
        <v>129</v>
      </c>
      <c r="I48" s="75" t="s">
        <v>789</v>
      </c>
    </row>
    <row r="49" spans="1:9" ht="15.6" hidden="1">
      <c r="A49" s="425">
        <v>46094</v>
      </c>
      <c r="B49" s="170" t="s">
        <v>758</v>
      </c>
      <c r="C49" s="124" t="s">
        <v>748</v>
      </c>
      <c r="D49" s="124" t="s">
        <v>100</v>
      </c>
      <c r="E49" s="94">
        <v>6000</v>
      </c>
      <c r="F49" s="94"/>
      <c r="G49" s="214">
        <f t="shared" si="0"/>
        <v>1598661</v>
      </c>
      <c r="H49" s="75" t="s">
        <v>129</v>
      </c>
      <c r="I49" s="75" t="s">
        <v>789</v>
      </c>
    </row>
    <row r="50" spans="1:9" ht="15.6" hidden="1">
      <c r="A50" s="425">
        <v>46094</v>
      </c>
      <c r="B50" s="170" t="s">
        <v>759</v>
      </c>
      <c r="C50" s="124" t="s">
        <v>748</v>
      </c>
      <c r="D50" s="124" t="s">
        <v>100</v>
      </c>
      <c r="E50" s="94">
        <v>6000</v>
      </c>
      <c r="F50" s="94"/>
      <c r="G50" s="214">
        <f t="shared" si="0"/>
        <v>1592661</v>
      </c>
      <c r="H50" s="75" t="s">
        <v>129</v>
      </c>
      <c r="I50" s="75" t="s">
        <v>789</v>
      </c>
    </row>
    <row r="51" spans="1:9" ht="15.6" hidden="1">
      <c r="A51" s="425">
        <v>46094</v>
      </c>
      <c r="B51" s="170" t="s">
        <v>760</v>
      </c>
      <c r="C51" s="124" t="s">
        <v>748</v>
      </c>
      <c r="D51" s="124" t="s">
        <v>100</v>
      </c>
      <c r="E51" s="94">
        <v>6000</v>
      </c>
      <c r="F51" s="94"/>
      <c r="G51" s="214">
        <f t="shared" si="0"/>
        <v>1586661</v>
      </c>
      <c r="H51" s="75" t="s">
        <v>129</v>
      </c>
      <c r="I51" s="75" t="s">
        <v>789</v>
      </c>
    </row>
    <row r="52" spans="1:9" ht="15.6" hidden="1">
      <c r="A52" s="425">
        <v>46094</v>
      </c>
      <c r="B52" s="170" t="s">
        <v>761</v>
      </c>
      <c r="C52" s="124" t="s">
        <v>748</v>
      </c>
      <c r="D52" s="124" t="s">
        <v>100</v>
      </c>
      <c r="E52" s="94">
        <v>6000</v>
      </c>
      <c r="F52" s="94"/>
      <c r="G52" s="214">
        <f t="shared" si="0"/>
        <v>1580661</v>
      </c>
      <c r="H52" s="75" t="s">
        <v>129</v>
      </c>
      <c r="I52" s="75" t="s">
        <v>789</v>
      </c>
    </row>
    <row r="53" spans="1:9" hidden="1">
      <c r="A53" s="425">
        <v>46094</v>
      </c>
      <c r="B53" s="124" t="s">
        <v>762</v>
      </c>
      <c r="C53" s="124" t="s">
        <v>748</v>
      </c>
      <c r="D53" s="124" t="s">
        <v>100</v>
      </c>
      <c r="E53" s="94">
        <v>10000</v>
      </c>
      <c r="F53" s="94"/>
      <c r="G53" s="214">
        <f t="shared" si="0"/>
        <v>1570661</v>
      </c>
      <c r="H53" s="75" t="s">
        <v>129</v>
      </c>
      <c r="I53" s="75" t="s">
        <v>790</v>
      </c>
    </row>
    <row r="54" spans="1:9" hidden="1">
      <c r="A54" s="425">
        <v>46094</v>
      </c>
      <c r="B54" s="124" t="s">
        <v>763</v>
      </c>
      <c r="C54" s="124" t="s">
        <v>748</v>
      </c>
      <c r="D54" s="124" t="s">
        <v>100</v>
      </c>
      <c r="E54" s="94">
        <v>10000</v>
      </c>
      <c r="F54" s="94"/>
      <c r="G54" s="214">
        <f t="shared" si="0"/>
        <v>1560661</v>
      </c>
      <c r="H54" s="75" t="s">
        <v>129</v>
      </c>
      <c r="I54" s="75" t="s">
        <v>790</v>
      </c>
    </row>
    <row r="55" spans="1:9" hidden="1">
      <c r="A55" s="425">
        <v>46094</v>
      </c>
      <c r="B55" s="124" t="s">
        <v>764</v>
      </c>
      <c r="C55" s="124" t="s">
        <v>748</v>
      </c>
      <c r="D55" s="124" t="s">
        <v>100</v>
      </c>
      <c r="E55" s="94">
        <v>10000</v>
      </c>
      <c r="F55" s="94"/>
      <c r="G55" s="214">
        <f t="shared" si="0"/>
        <v>1550661</v>
      </c>
      <c r="H55" s="75" t="s">
        <v>129</v>
      </c>
      <c r="I55" s="75" t="s">
        <v>790</v>
      </c>
    </row>
    <row r="56" spans="1:9" hidden="1">
      <c r="A56" s="425">
        <v>46094</v>
      </c>
      <c r="B56" s="124" t="s">
        <v>765</v>
      </c>
      <c r="C56" s="124" t="s">
        <v>748</v>
      </c>
      <c r="D56" s="124" t="s">
        <v>100</v>
      </c>
      <c r="E56" s="94">
        <v>10000</v>
      </c>
      <c r="F56" s="94"/>
      <c r="G56" s="214">
        <f t="shared" si="0"/>
        <v>1540661</v>
      </c>
      <c r="H56" s="75" t="s">
        <v>129</v>
      </c>
      <c r="I56" s="75" t="s">
        <v>790</v>
      </c>
    </row>
    <row r="57" spans="1:9" hidden="1">
      <c r="A57" s="425">
        <v>46094</v>
      </c>
      <c r="B57" s="124" t="s">
        <v>766</v>
      </c>
      <c r="C57" s="124" t="s">
        <v>748</v>
      </c>
      <c r="D57" s="124" t="s">
        <v>100</v>
      </c>
      <c r="E57" s="94">
        <v>6000</v>
      </c>
      <c r="F57" s="94"/>
      <c r="G57" s="214">
        <f t="shared" si="0"/>
        <v>1534661</v>
      </c>
      <c r="H57" s="75" t="s">
        <v>129</v>
      </c>
      <c r="I57" s="75" t="s">
        <v>791</v>
      </c>
    </row>
    <row r="58" spans="1:9" hidden="1">
      <c r="A58" s="425">
        <v>46094</v>
      </c>
      <c r="B58" s="124" t="s">
        <v>767</v>
      </c>
      <c r="C58" s="124" t="s">
        <v>748</v>
      </c>
      <c r="D58" s="124" t="s">
        <v>100</v>
      </c>
      <c r="E58" s="94">
        <v>18000</v>
      </c>
      <c r="F58" s="94"/>
      <c r="G58" s="214">
        <f t="shared" si="0"/>
        <v>1516661</v>
      </c>
      <c r="H58" s="75" t="s">
        <v>129</v>
      </c>
      <c r="I58" s="75" t="s">
        <v>791</v>
      </c>
    </row>
    <row r="59" spans="1:9" hidden="1">
      <c r="A59" s="425">
        <v>46098</v>
      </c>
      <c r="B59" s="75" t="s">
        <v>455</v>
      </c>
      <c r="C59" s="75" t="s">
        <v>130</v>
      </c>
      <c r="D59" s="75" t="s">
        <v>98</v>
      </c>
      <c r="E59" s="94">
        <v>40000</v>
      </c>
      <c r="F59" s="94"/>
      <c r="G59" s="214">
        <f t="shared" si="0"/>
        <v>1476661</v>
      </c>
      <c r="H59" s="75" t="s">
        <v>168</v>
      </c>
      <c r="I59" s="403" t="s">
        <v>517</v>
      </c>
    </row>
    <row r="60" spans="1:9" hidden="1">
      <c r="A60" s="212">
        <v>46098</v>
      </c>
      <c r="B60" s="75" t="s">
        <v>353</v>
      </c>
      <c r="C60" s="75" t="s">
        <v>104</v>
      </c>
      <c r="D60" s="75" t="s">
        <v>99</v>
      </c>
      <c r="E60" s="94">
        <v>80500</v>
      </c>
      <c r="F60" s="94"/>
      <c r="G60" s="214">
        <f t="shared" si="0"/>
        <v>1396161</v>
      </c>
      <c r="H60" s="75" t="s">
        <v>111</v>
      </c>
      <c r="I60" s="403" t="s">
        <v>384</v>
      </c>
    </row>
    <row r="61" spans="1:9" hidden="1">
      <c r="A61" s="212">
        <v>46098</v>
      </c>
      <c r="B61" s="75" t="s">
        <v>354</v>
      </c>
      <c r="C61" s="75" t="s">
        <v>104</v>
      </c>
      <c r="D61" s="75" t="s">
        <v>99</v>
      </c>
      <c r="E61" s="94">
        <v>129464</v>
      </c>
      <c r="F61" s="94"/>
      <c r="G61" s="214">
        <f t="shared" si="0"/>
        <v>1266697</v>
      </c>
      <c r="H61" s="75" t="s">
        <v>111</v>
      </c>
      <c r="I61" s="403" t="s">
        <v>385</v>
      </c>
    </row>
    <row r="62" spans="1:9" hidden="1">
      <c r="A62" s="212">
        <v>46098</v>
      </c>
      <c r="B62" s="75" t="s">
        <v>456</v>
      </c>
      <c r="C62" s="75" t="s">
        <v>103</v>
      </c>
      <c r="D62" s="75" t="s">
        <v>98</v>
      </c>
      <c r="E62" s="94">
        <v>40613</v>
      </c>
      <c r="F62" s="94"/>
      <c r="G62" s="214">
        <f t="shared" si="0"/>
        <v>1226084</v>
      </c>
      <c r="H62" s="75" t="s">
        <v>168</v>
      </c>
      <c r="I62" s="403" t="s">
        <v>518</v>
      </c>
    </row>
    <row r="63" spans="1:9" hidden="1">
      <c r="A63" s="212">
        <v>46099</v>
      </c>
      <c r="B63" s="75" t="s">
        <v>461</v>
      </c>
      <c r="C63" s="75" t="s">
        <v>242</v>
      </c>
      <c r="D63" s="75" t="s">
        <v>98</v>
      </c>
      <c r="E63" s="94">
        <v>45050</v>
      </c>
      <c r="F63" s="94"/>
      <c r="G63" s="214">
        <f t="shared" si="0"/>
        <v>1181034</v>
      </c>
      <c r="H63" s="75" t="s">
        <v>168</v>
      </c>
      <c r="I63" s="403" t="s">
        <v>519</v>
      </c>
    </row>
    <row r="64" spans="1:9">
      <c r="A64" s="212">
        <v>46099</v>
      </c>
      <c r="B64" s="75" t="s">
        <v>122</v>
      </c>
      <c r="C64" s="75" t="s">
        <v>102</v>
      </c>
      <c r="D64" s="75"/>
      <c r="E64" s="94">
        <v>105000</v>
      </c>
      <c r="F64" s="94"/>
      <c r="G64" s="214">
        <f t="shared" si="0"/>
        <v>1076034</v>
      </c>
      <c r="H64" s="75" t="s">
        <v>122</v>
      </c>
      <c r="I64" s="124" t="s">
        <v>888</v>
      </c>
    </row>
    <row r="65" spans="1:9" hidden="1">
      <c r="A65" s="212">
        <v>46099</v>
      </c>
      <c r="B65" s="75" t="s">
        <v>462</v>
      </c>
      <c r="C65" s="75" t="s">
        <v>463</v>
      </c>
      <c r="D65" s="75" t="s">
        <v>98</v>
      </c>
      <c r="E65" s="94">
        <v>3150</v>
      </c>
      <c r="F65" s="94"/>
      <c r="G65" s="214">
        <f t="shared" si="0"/>
        <v>1072884</v>
      </c>
      <c r="H65" s="75" t="s">
        <v>168</v>
      </c>
      <c r="I65" s="403" t="s">
        <v>520</v>
      </c>
    </row>
    <row r="66" spans="1:9" hidden="1">
      <c r="A66" s="212">
        <v>46099</v>
      </c>
      <c r="B66" s="75" t="s">
        <v>862</v>
      </c>
      <c r="C66" s="75" t="s">
        <v>110</v>
      </c>
      <c r="D66" s="75" t="s">
        <v>98</v>
      </c>
      <c r="E66" s="94">
        <v>65000</v>
      </c>
      <c r="F66" s="94"/>
      <c r="G66" s="214">
        <f t="shared" si="0"/>
        <v>1007884</v>
      </c>
      <c r="H66" s="75" t="s">
        <v>198</v>
      </c>
      <c r="I66" s="75" t="s">
        <v>239</v>
      </c>
    </row>
    <row r="67" spans="1:9">
      <c r="A67" s="212">
        <v>46099</v>
      </c>
      <c r="B67" s="75" t="s">
        <v>123</v>
      </c>
      <c r="C67" s="75" t="s">
        <v>102</v>
      </c>
      <c r="D67" s="75"/>
      <c r="E67" s="94">
        <v>100000</v>
      </c>
      <c r="F67" s="94"/>
      <c r="G67" s="214">
        <f t="shared" ref="G67:G116" si="1">G66+F67-E67</f>
        <v>907884</v>
      </c>
      <c r="H67" s="75" t="s">
        <v>123</v>
      </c>
      <c r="I67" s="124" t="s">
        <v>889</v>
      </c>
    </row>
    <row r="68" spans="1:9">
      <c r="A68" s="212">
        <v>46099</v>
      </c>
      <c r="B68" s="75" t="s">
        <v>123</v>
      </c>
      <c r="C68" s="75" t="s">
        <v>102</v>
      </c>
      <c r="D68" s="75"/>
      <c r="E68" s="94">
        <v>103000</v>
      </c>
      <c r="F68" s="94"/>
      <c r="G68" s="214">
        <f t="shared" si="1"/>
        <v>804884</v>
      </c>
      <c r="H68" s="75" t="s">
        <v>123</v>
      </c>
      <c r="I68" s="124" t="s">
        <v>890</v>
      </c>
    </row>
    <row r="69" spans="1:9" hidden="1">
      <c r="A69" s="212">
        <v>46099</v>
      </c>
      <c r="B69" s="75" t="s">
        <v>464</v>
      </c>
      <c r="C69" s="75" t="s">
        <v>463</v>
      </c>
      <c r="D69" s="75" t="s">
        <v>98</v>
      </c>
      <c r="E69" s="94">
        <v>7710</v>
      </c>
      <c r="F69" s="94"/>
      <c r="G69" s="214">
        <f t="shared" si="1"/>
        <v>797174</v>
      </c>
      <c r="H69" s="75" t="s">
        <v>168</v>
      </c>
      <c r="I69" s="403" t="s">
        <v>521</v>
      </c>
    </row>
    <row r="70" spans="1:9">
      <c r="A70" s="341">
        <v>46101</v>
      </c>
      <c r="B70" s="124" t="s">
        <v>122</v>
      </c>
      <c r="C70" s="124" t="s">
        <v>102</v>
      </c>
      <c r="D70" s="124"/>
      <c r="E70" s="443">
        <v>154000</v>
      </c>
      <c r="F70" s="443"/>
      <c r="G70" s="214">
        <f t="shared" si="1"/>
        <v>643174</v>
      </c>
      <c r="H70" s="124" t="s">
        <v>122</v>
      </c>
      <c r="I70" s="124" t="s">
        <v>891</v>
      </c>
    </row>
    <row r="71" spans="1:9">
      <c r="A71" s="212">
        <v>46101</v>
      </c>
      <c r="B71" s="75" t="s">
        <v>131</v>
      </c>
      <c r="C71" s="75" t="s">
        <v>102</v>
      </c>
      <c r="D71" s="75"/>
      <c r="E71" s="94">
        <v>75000</v>
      </c>
      <c r="F71" s="94"/>
      <c r="G71" s="214">
        <f t="shared" si="1"/>
        <v>568174</v>
      </c>
      <c r="H71" s="75" t="s">
        <v>131</v>
      </c>
      <c r="I71" s="124" t="s">
        <v>892</v>
      </c>
    </row>
    <row r="72" spans="1:9">
      <c r="A72" s="212">
        <v>46101</v>
      </c>
      <c r="B72" s="75" t="s">
        <v>168</v>
      </c>
      <c r="C72" s="75" t="s">
        <v>102</v>
      </c>
      <c r="D72" s="75"/>
      <c r="E72" s="94">
        <v>30000</v>
      </c>
      <c r="F72" s="94"/>
      <c r="G72" s="214">
        <f t="shared" si="1"/>
        <v>538174</v>
      </c>
      <c r="H72" s="75" t="s">
        <v>168</v>
      </c>
      <c r="I72" s="124" t="s">
        <v>893</v>
      </c>
    </row>
    <row r="73" spans="1:9">
      <c r="A73" s="212">
        <v>46104</v>
      </c>
      <c r="B73" s="75" t="s">
        <v>131</v>
      </c>
      <c r="C73" s="75" t="s">
        <v>102</v>
      </c>
      <c r="D73" s="75"/>
      <c r="E73" s="94">
        <v>72000</v>
      </c>
      <c r="F73" s="94"/>
      <c r="G73" s="214">
        <f t="shared" si="1"/>
        <v>466174</v>
      </c>
      <c r="H73" s="75" t="s">
        <v>131</v>
      </c>
      <c r="I73" s="124" t="s">
        <v>894</v>
      </c>
    </row>
    <row r="74" spans="1:9" hidden="1">
      <c r="A74" s="212">
        <v>46104</v>
      </c>
      <c r="B74" s="75" t="s">
        <v>475</v>
      </c>
      <c r="C74" s="75" t="s">
        <v>463</v>
      </c>
      <c r="D74" s="75" t="s">
        <v>98</v>
      </c>
      <c r="E74" s="94">
        <v>2520</v>
      </c>
      <c r="F74" s="94"/>
      <c r="G74" s="214">
        <f t="shared" si="1"/>
        <v>463654</v>
      </c>
      <c r="H74" s="75" t="s">
        <v>168</v>
      </c>
      <c r="I74" s="403" t="s">
        <v>524</v>
      </c>
    </row>
    <row r="75" spans="1:9" hidden="1">
      <c r="A75" s="212">
        <v>46105</v>
      </c>
      <c r="B75" s="75" t="s">
        <v>801</v>
      </c>
      <c r="C75" s="75" t="s">
        <v>120</v>
      </c>
      <c r="D75" s="75" t="s">
        <v>98</v>
      </c>
      <c r="E75" s="94">
        <v>62500</v>
      </c>
      <c r="F75" s="94"/>
      <c r="G75" s="214">
        <f t="shared" si="1"/>
        <v>401154</v>
      </c>
      <c r="H75" s="75" t="s">
        <v>124</v>
      </c>
      <c r="I75" s="403" t="s">
        <v>845</v>
      </c>
    </row>
    <row r="76" spans="1:9" hidden="1">
      <c r="A76" s="212">
        <v>46105</v>
      </c>
      <c r="B76" s="75" t="s">
        <v>863</v>
      </c>
      <c r="C76" s="75" t="s">
        <v>110</v>
      </c>
      <c r="D76" s="75" t="s">
        <v>98</v>
      </c>
      <c r="E76" s="94">
        <v>65000</v>
      </c>
      <c r="F76" s="94"/>
      <c r="G76" s="214">
        <f t="shared" si="1"/>
        <v>336154</v>
      </c>
      <c r="H76" s="75" t="s">
        <v>198</v>
      </c>
      <c r="I76" s="75" t="s">
        <v>239</v>
      </c>
    </row>
    <row r="77" spans="1:9" hidden="1">
      <c r="A77" s="212">
        <v>46105</v>
      </c>
      <c r="B77" s="124" t="s">
        <v>355</v>
      </c>
      <c r="C77" s="124" t="s">
        <v>104</v>
      </c>
      <c r="D77" s="124" t="s">
        <v>99</v>
      </c>
      <c r="E77" s="94">
        <v>150000</v>
      </c>
      <c r="F77" s="94"/>
      <c r="G77" s="214">
        <f t="shared" si="1"/>
        <v>186154</v>
      </c>
      <c r="H77" s="75" t="s">
        <v>111</v>
      </c>
      <c r="I77" s="403" t="s">
        <v>386</v>
      </c>
    </row>
    <row r="78" spans="1:9">
      <c r="A78" s="212">
        <v>46105</v>
      </c>
      <c r="B78" s="75" t="s">
        <v>111</v>
      </c>
      <c r="C78" s="75" t="s">
        <v>102</v>
      </c>
      <c r="D78" s="75"/>
      <c r="E78" s="94">
        <v>20000</v>
      </c>
      <c r="F78" s="94"/>
      <c r="G78" s="214">
        <f t="shared" si="1"/>
        <v>166154</v>
      </c>
      <c r="H78" s="75" t="s">
        <v>111</v>
      </c>
      <c r="I78" s="124" t="s">
        <v>895</v>
      </c>
    </row>
    <row r="79" spans="1:9">
      <c r="A79" s="212">
        <v>46106</v>
      </c>
      <c r="B79" s="75" t="s">
        <v>131</v>
      </c>
      <c r="C79" s="75" t="s">
        <v>102</v>
      </c>
      <c r="D79" s="75"/>
      <c r="E79" s="94">
        <v>46000</v>
      </c>
      <c r="F79" s="94"/>
      <c r="G79" s="214">
        <f t="shared" si="1"/>
        <v>120154</v>
      </c>
      <c r="H79" s="75" t="s">
        <v>131</v>
      </c>
      <c r="I79" s="124" t="s">
        <v>896</v>
      </c>
    </row>
    <row r="80" spans="1:9" hidden="1">
      <c r="A80" s="212">
        <v>46106</v>
      </c>
      <c r="B80" s="75" t="s">
        <v>475</v>
      </c>
      <c r="C80" s="75" t="s">
        <v>463</v>
      </c>
      <c r="D80" s="75" t="s">
        <v>98</v>
      </c>
      <c r="E80" s="94">
        <v>1610</v>
      </c>
      <c r="F80" s="94"/>
      <c r="G80" s="214">
        <f t="shared" si="1"/>
        <v>118544</v>
      </c>
      <c r="H80" s="75" t="s">
        <v>168</v>
      </c>
      <c r="I80" s="403" t="s">
        <v>526</v>
      </c>
    </row>
    <row r="81" spans="1:9" hidden="1">
      <c r="A81" s="212">
        <v>46106</v>
      </c>
      <c r="B81" s="75" t="s">
        <v>480</v>
      </c>
      <c r="C81" s="124" t="s">
        <v>120</v>
      </c>
      <c r="D81" s="75" t="s">
        <v>98</v>
      </c>
      <c r="E81" s="94">
        <v>10000</v>
      </c>
      <c r="F81" s="94"/>
      <c r="G81" s="214">
        <f t="shared" si="1"/>
        <v>108544</v>
      </c>
      <c r="H81" s="75" t="s">
        <v>168</v>
      </c>
      <c r="I81" s="403" t="s">
        <v>527</v>
      </c>
    </row>
    <row r="82" spans="1:9">
      <c r="A82" s="212">
        <v>46106</v>
      </c>
      <c r="B82" s="75" t="s">
        <v>124</v>
      </c>
      <c r="C82" s="75" t="s">
        <v>102</v>
      </c>
      <c r="D82" s="75"/>
      <c r="E82" s="94">
        <v>50000</v>
      </c>
      <c r="F82" s="94"/>
      <c r="G82" s="214">
        <f t="shared" si="1"/>
        <v>58544</v>
      </c>
      <c r="H82" s="75" t="s">
        <v>124</v>
      </c>
      <c r="I82" s="124" t="s">
        <v>897</v>
      </c>
    </row>
    <row r="83" spans="1:9">
      <c r="A83" s="212">
        <v>46106</v>
      </c>
      <c r="B83" s="75" t="s">
        <v>127</v>
      </c>
      <c r="C83" s="75" t="s">
        <v>102</v>
      </c>
      <c r="D83" s="75"/>
      <c r="E83" s="94">
        <v>50000</v>
      </c>
      <c r="F83" s="94"/>
      <c r="G83" s="214">
        <f t="shared" si="1"/>
        <v>8544</v>
      </c>
      <c r="H83" s="75" t="s">
        <v>127</v>
      </c>
      <c r="I83" s="124" t="s">
        <v>898</v>
      </c>
    </row>
    <row r="84" spans="1:9" ht="15.6">
      <c r="A84" s="212">
        <v>46107</v>
      </c>
      <c r="B84" s="215" t="s">
        <v>864</v>
      </c>
      <c r="C84" s="75" t="s">
        <v>102</v>
      </c>
      <c r="D84" s="75"/>
      <c r="E84" s="94"/>
      <c r="F84" s="94">
        <v>2000000</v>
      </c>
      <c r="G84" s="214">
        <f t="shared" si="1"/>
        <v>2008544</v>
      </c>
      <c r="H84" s="75" t="s">
        <v>107</v>
      </c>
      <c r="I84" s="124" t="s">
        <v>899</v>
      </c>
    </row>
    <row r="85" spans="1:9">
      <c r="A85" s="212">
        <v>46107</v>
      </c>
      <c r="B85" s="75" t="s">
        <v>123</v>
      </c>
      <c r="C85" s="75" t="s">
        <v>102</v>
      </c>
      <c r="D85" s="75"/>
      <c r="E85" s="94">
        <v>67000</v>
      </c>
      <c r="F85" s="94"/>
      <c r="G85" s="214">
        <f t="shared" si="1"/>
        <v>1941544</v>
      </c>
      <c r="H85" s="75" t="s">
        <v>123</v>
      </c>
      <c r="I85" s="124" t="s">
        <v>900</v>
      </c>
    </row>
    <row r="86" spans="1:9">
      <c r="A86" s="212">
        <v>46107</v>
      </c>
      <c r="B86" s="75" t="s">
        <v>122</v>
      </c>
      <c r="C86" s="75" t="s">
        <v>102</v>
      </c>
      <c r="D86" s="75"/>
      <c r="E86" s="94">
        <v>109000</v>
      </c>
      <c r="F86" s="94"/>
      <c r="G86" s="214">
        <f t="shared" si="1"/>
        <v>1832544</v>
      </c>
      <c r="H86" s="75" t="s">
        <v>122</v>
      </c>
      <c r="I86" s="124" t="s">
        <v>901</v>
      </c>
    </row>
    <row r="87" spans="1:9" hidden="1">
      <c r="A87" s="212">
        <v>46107</v>
      </c>
      <c r="B87" s="75" t="s">
        <v>483</v>
      </c>
      <c r="C87" s="75" t="s">
        <v>463</v>
      </c>
      <c r="D87" s="75" t="s">
        <v>98</v>
      </c>
      <c r="E87" s="94">
        <v>6160</v>
      </c>
      <c r="F87" s="94"/>
      <c r="G87" s="214">
        <f t="shared" si="1"/>
        <v>1826384</v>
      </c>
      <c r="H87" s="75" t="s">
        <v>168</v>
      </c>
      <c r="I87" s="403" t="s">
        <v>528</v>
      </c>
    </row>
    <row r="88" spans="1:9" hidden="1">
      <c r="A88" s="212">
        <v>46107</v>
      </c>
      <c r="B88" s="75" t="s">
        <v>484</v>
      </c>
      <c r="C88" s="124" t="s">
        <v>120</v>
      </c>
      <c r="D88" s="75" t="s">
        <v>98</v>
      </c>
      <c r="E88" s="94">
        <v>3750</v>
      </c>
      <c r="F88" s="94"/>
      <c r="G88" s="214">
        <f t="shared" si="1"/>
        <v>1822634</v>
      </c>
      <c r="H88" s="75" t="s">
        <v>168</v>
      </c>
      <c r="I88" s="403" t="s">
        <v>529</v>
      </c>
    </row>
    <row r="89" spans="1:9">
      <c r="A89" s="212">
        <v>46108</v>
      </c>
      <c r="B89" s="75" t="s">
        <v>124</v>
      </c>
      <c r="C89" s="75" t="s">
        <v>102</v>
      </c>
      <c r="D89" s="75"/>
      <c r="E89" s="94">
        <v>14500</v>
      </c>
      <c r="F89" s="94"/>
      <c r="G89" s="214">
        <f t="shared" si="1"/>
        <v>1808134</v>
      </c>
      <c r="H89" s="75" t="s">
        <v>124</v>
      </c>
      <c r="I89" s="124" t="s">
        <v>902</v>
      </c>
    </row>
    <row r="90" spans="1:9">
      <c r="A90" s="212">
        <v>46108</v>
      </c>
      <c r="B90" s="75" t="s">
        <v>127</v>
      </c>
      <c r="C90" s="75" t="s">
        <v>102</v>
      </c>
      <c r="D90" s="75"/>
      <c r="E90" s="94">
        <v>38500</v>
      </c>
      <c r="F90" s="94"/>
      <c r="G90" s="214">
        <f t="shared" si="1"/>
        <v>1769634</v>
      </c>
      <c r="H90" s="75" t="s">
        <v>127</v>
      </c>
      <c r="I90" s="124" t="s">
        <v>903</v>
      </c>
    </row>
    <row r="91" spans="1:9">
      <c r="A91" s="212">
        <v>46108</v>
      </c>
      <c r="B91" s="75" t="s">
        <v>131</v>
      </c>
      <c r="C91" s="75" t="s">
        <v>102</v>
      </c>
      <c r="D91" s="75"/>
      <c r="E91" s="94">
        <v>23000</v>
      </c>
      <c r="F91" s="94"/>
      <c r="G91" s="214">
        <f t="shared" si="1"/>
        <v>1746634</v>
      </c>
      <c r="H91" s="75" t="s">
        <v>131</v>
      </c>
      <c r="I91" s="124" t="s">
        <v>904</v>
      </c>
    </row>
    <row r="92" spans="1:9" hidden="1">
      <c r="A92" s="212">
        <v>46108</v>
      </c>
      <c r="B92" s="75" t="s">
        <v>487</v>
      </c>
      <c r="C92" s="75" t="s">
        <v>463</v>
      </c>
      <c r="D92" s="75" t="s">
        <v>98</v>
      </c>
      <c r="E92" s="94">
        <v>2660</v>
      </c>
      <c r="F92" s="94"/>
      <c r="G92" s="214">
        <f t="shared" si="1"/>
        <v>1743974</v>
      </c>
      <c r="H92" s="75" t="s">
        <v>168</v>
      </c>
      <c r="I92" s="403" t="s">
        <v>530</v>
      </c>
    </row>
    <row r="93" spans="1:9" hidden="1">
      <c r="A93" s="212">
        <v>46108</v>
      </c>
      <c r="B93" s="124" t="s">
        <v>488</v>
      </c>
      <c r="C93" s="75" t="s">
        <v>120</v>
      </c>
      <c r="D93" s="75" t="s">
        <v>98</v>
      </c>
      <c r="E93" s="94">
        <v>10000</v>
      </c>
      <c r="F93" s="94"/>
      <c r="G93" s="214">
        <f t="shared" si="1"/>
        <v>1733974</v>
      </c>
      <c r="H93" s="75" t="s">
        <v>168</v>
      </c>
      <c r="I93" s="403" t="s">
        <v>531</v>
      </c>
    </row>
    <row r="94" spans="1:9" hidden="1">
      <c r="A94" s="212">
        <v>46108</v>
      </c>
      <c r="B94" s="124" t="s">
        <v>489</v>
      </c>
      <c r="C94" s="75" t="s">
        <v>120</v>
      </c>
      <c r="D94" s="75" t="s">
        <v>98</v>
      </c>
      <c r="E94" s="94">
        <v>4000</v>
      </c>
      <c r="F94" s="94"/>
      <c r="G94" s="214">
        <f t="shared" si="1"/>
        <v>1729974</v>
      </c>
      <c r="H94" s="75" t="s">
        <v>168</v>
      </c>
      <c r="I94" s="403" t="s">
        <v>531</v>
      </c>
    </row>
    <row r="95" spans="1:9" hidden="1">
      <c r="A95" s="212">
        <v>46108</v>
      </c>
      <c r="B95" s="124" t="s">
        <v>490</v>
      </c>
      <c r="C95" s="75" t="s">
        <v>120</v>
      </c>
      <c r="D95" s="75" t="s">
        <v>98</v>
      </c>
      <c r="E95" s="94">
        <v>3500</v>
      </c>
      <c r="F95" s="94"/>
      <c r="G95" s="214">
        <f t="shared" si="1"/>
        <v>1726474</v>
      </c>
      <c r="H95" s="75" t="s">
        <v>168</v>
      </c>
      <c r="I95" s="403" t="s">
        <v>531</v>
      </c>
    </row>
    <row r="96" spans="1:9" hidden="1">
      <c r="A96" s="212">
        <v>46108</v>
      </c>
      <c r="B96" s="124" t="s">
        <v>491</v>
      </c>
      <c r="C96" s="75" t="s">
        <v>120</v>
      </c>
      <c r="D96" s="75" t="s">
        <v>98</v>
      </c>
      <c r="E96" s="94">
        <v>3500</v>
      </c>
      <c r="F96" s="94"/>
      <c r="G96" s="214">
        <f t="shared" si="1"/>
        <v>1722974</v>
      </c>
      <c r="H96" s="75" t="s">
        <v>168</v>
      </c>
      <c r="I96" s="403" t="s">
        <v>531</v>
      </c>
    </row>
    <row r="97" spans="1:9" hidden="1">
      <c r="A97" s="212">
        <v>46108</v>
      </c>
      <c r="B97" s="124" t="s">
        <v>492</v>
      </c>
      <c r="C97" s="75" t="s">
        <v>120</v>
      </c>
      <c r="D97" s="75" t="s">
        <v>98</v>
      </c>
      <c r="E97" s="94">
        <v>5600</v>
      </c>
      <c r="F97" s="94"/>
      <c r="G97" s="214">
        <f t="shared" si="1"/>
        <v>1717374</v>
      </c>
      <c r="H97" s="75" t="s">
        <v>168</v>
      </c>
      <c r="I97" s="403" t="s">
        <v>531</v>
      </c>
    </row>
    <row r="98" spans="1:9" hidden="1">
      <c r="A98" s="212">
        <v>46108</v>
      </c>
      <c r="B98" s="124" t="s">
        <v>493</v>
      </c>
      <c r="C98" s="75" t="s">
        <v>120</v>
      </c>
      <c r="D98" s="75" t="s">
        <v>98</v>
      </c>
      <c r="E98" s="94">
        <v>6000</v>
      </c>
      <c r="F98" s="94"/>
      <c r="G98" s="214">
        <f t="shared" si="1"/>
        <v>1711374</v>
      </c>
      <c r="H98" s="75" t="s">
        <v>168</v>
      </c>
      <c r="I98" s="403" t="s">
        <v>531</v>
      </c>
    </row>
    <row r="99" spans="1:9" hidden="1">
      <c r="A99" s="212">
        <v>46108</v>
      </c>
      <c r="B99" s="124" t="s">
        <v>494</v>
      </c>
      <c r="C99" s="75" t="s">
        <v>120</v>
      </c>
      <c r="D99" s="75" t="s">
        <v>98</v>
      </c>
      <c r="E99" s="94">
        <v>1250</v>
      </c>
      <c r="F99" s="94"/>
      <c r="G99" s="214">
        <f t="shared" si="1"/>
        <v>1710124</v>
      </c>
      <c r="H99" s="75" t="s">
        <v>168</v>
      </c>
      <c r="I99" s="403" t="s">
        <v>531</v>
      </c>
    </row>
    <row r="100" spans="1:9" hidden="1">
      <c r="A100" s="212">
        <v>46108</v>
      </c>
      <c r="B100" s="124" t="s">
        <v>495</v>
      </c>
      <c r="C100" s="75" t="s">
        <v>120</v>
      </c>
      <c r="D100" s="75" t="s">
        <v>98</v>
      </c>
      <c r="E100" s="94">
        <v>1200</v>
      </c>
      <c r="F100" s="94"/>
      <c r="G100" s="214">
        <f t="shared" si="1"/>
        <v>1708924</v>
      </c>
      <c r="H100" s="75" t="s">
        <v>168</v>
      </c>
      <c r="I100" s="403" t="s">
        <v>531</v>
      </c>
    </row>
    <row r="101" spans="1:9" hidden="1">
      <c r="A101" s="212">
        <v>46108</v>
      </c>
      <c r="B101" s="124" t="s">
        <v>496</v>
      </c>
      <c r="C101" s="75" t="s">
        <v>120</v>
      </c>
      <c r="D101" s="75" t="s">
        <v>98</v>
      </c>
      <c r="E101" s="94">
        <v>3700</v>
      </c>
      <c r="F101" s="94"/>
      <c r="G101" s="214">
        <f t="shared" si="1"/>
        <v>1705224</v>
      </c>
      <c r="H101" s="75" t="s">
        <v>168</v>
      </c>
      <c r="I101" s="403" t="s">
        <v>531</v>
      </c>
    </row>
    <row r="102" spans="1:9" hidden="1">
      <c r="A102" s="212">
        <v>46108</v>
      </c>
      <c r="B102" s="124" t="s">
        <v>497</v>
      </c>
      <c r="C102" s="75" t="s">
        <v>120</v>
      </c>
      <c r="D102" s="75" t="s">
        <v>98</v>
      </c>
      <c r="E102" s="94">
        <v>17550</v>
      </c>
      <c r="F102" s="94"/>
      <c r="G102" s="214">
        <f t="shared" si="1"/>
        <v>1687674</v>
      </c>
      <c r="H102" s="75" t="s">
        <v>168</v>
      </c>
      <c r="I102" s="403" t="s">
        <v>531</v>
      </c>
    </row>
    <row r="103" spans="1:9" hidden="1">
      <c r="A103" s="212">
        <v>46108</v>
      </c>
      <c r="B103" s="124" t="s">
        <v>498</v>
      </c>
      <c r="C103" s="75" t="s">
        <v>120</v>
      </c>
      <c r="D103" s="75" t="s">
        <v>98</v>
      </c>
      <c r="E103" s="94">
        <v>11100</v>
      </c>
      <c r="F103" s="94"/>
      <c r="G103" s="214">
        <f t="shared" si="1"/>
        <v>1676574</v>
      </c>
      <c r="H103" s="75" t="s">
        <v>168</v>
      </c>
      <c r="I103" s="403" t="s">
        <v>531</v>
      </c>
    </row>
    <row r="104" spans="1:9">
      <c r="A104" s="212">
        <v>46108</v>
      </c>
      <c r="B104" s="75" t="s">
        <v>128</v>
      </c>
      <c r="C104" s="75" t="s">
        <v>102</v>
      </c>
      <c r="D104" s="75"/>
      <c r="E104" s="94">
        <v>62000</v>
      </c>
      <c r="F104" s="94"/>
      <c r="G104" s="214">
        <f t="shared" si="1"/>
        <v>1614574</v>
      </c>
      <c r="H104" s="75" t="s">
        <v>882</v>
      </c>
      <c r="I104" s="124" t="s">
        <v>905</v>
      </c>
    </row>
    <row r="105" spans="1:9" hidden="1">
      <c r="A105" s="212">
        <v>46111</v>
      </c>
      <c r="B105" s="75" t="s">
        <v>502</v>
      </c>
      <c r="C105" s="75" t="s">
        <v>103</v>
      </c>
      <c r="D105" s="75" t="s">
        <v>98</v>
      </c>
      <c r="E105" s="94">
        <v>6000</v>
      </c>
      <c r="F105" s="94"/>
      <c r="G105" s="214">
        <f t="shared" si="1"/>
        <v>1608574</v>
      </c>
      <c r="H105" s="75" t="s">
        <v>168</v>
      </c>
      <c r="I105" s="403" t="s">
        <v>532</v>
      </c>
    </row>
    <row r="106" spans="1:9" hidden="1">
      <c r="A106" s="212">
        <v>46111</v>
      </c>
      <c r="B106" s="75" t="s">
        <v>503</v>
      </c>
      <c r="C106" s="75" t="s">
        <v>130</v>
      </c>
      <c r="D106" s="75" t="s">
        <v>98</v>
      </c>
      <c r="E106" s="94">
        <v>80000</v>
      </c>
      <c r="F106" s="94"/>
      <c r="G106" s="214">
        <f t="shared" si="1"/>
        <v>1528574</v>
      </c>
      <c r="H106" s="75" t="s">
        <v>168</v>
      </c>
      <c r="I106" s="403" t="s">
        <v>533</v>
      </c>
    </row>
    <row r="107" spans="1:9" hidden="1">
      <c r="A107" s="212">
        <v>46111</v>
      </c>
      <c r="B107" s="75" t="s">
        <v>504</v>
      </c>
      <c r="C107" s="75" t="s">
        <v>130</v>
      </c>
      <c r="D107" s="75" t="s">
        <v>98</v>
      </c>
      <c r="E107" s="94">
        <v>40000</v>
      </c>
      <c r="F107" s="94"/>
      <c r="G107" s="214">
        <f t="shared" si="1"/>
        <v>1488574</v>
      </c>
      <c r="H107" s="75" t="s">
        <v>168</v>
      </c>
      <c r="I107" s="403" t="s">
        <v>534</v>
      </c>
    </row>
    <row r="108" spans="1:9">
      <c r="A108" s="212">
        <v>46111</v>
      </c>
      <c r="B108" s="75" t="s">
        <v>123</v>
      </c>
      <c r="C108" s="75" t="s">
        <v>102</v>
      </c>
      <c r="D108" s="75"/>
      <c r="E108" s="94">
        <v>75000</v>
      </c>
      <c r="F108" s="94"/>
      <c r="G108" s="214">
        <f t="shared" si="1"/>
        <v>1413574</v>
      </c>
      <c r="H108" s="75" t="s">
        <v>123</v>
      </c>
      <c r="I108" s="124" t="s">
        <v>906</v>
      </c>
    </row>
    <row r="109" spans="1:9">
      <c r="A109" s="212">
        <v>46111</v>
      </c>
      <c r="B109" s="75" t="s">
        <v>122</v>
      </c>
      <c r="C109" s="75" t="s">
        <v>102</v>
      </c>
      <c r="D109" s="75"/>
      <c r="E109" s="94">
        <v>75000</v>
      </c>
      <c r="F109" s="94"/>
      <c r="G109" s="214">
        <f t="shared" si="1"/>
        <v>1338574</v>
      </c>
      <c r="H109" s="75" t="s">
        <v>122</v>
      </c>
      <c r="I109" s="124" t="s">
        <v>907</v>
      </c>
    </row>
    <row r="110" spans="1:9" hidden="1">
      <c r="A110" s="212">
        <v>46111</v>
      </c>
      <c r="B110" s="75" t="s">
        <v>483</v>
      </c>
      <c r="C110" s="75" t="s">
        <v>463</v>
      </c>
      <c r="D110" s="75" t="s">
        <v>98</v>
      </c>
      <c r="E110" s="94">
        <v>5250</v>
      </c>
      <c r="F110" s="94"/>
      <c r="G110" s="214">
        <f t="shared" si="1"/>
        <v>1333324</v>
      </c>
      <c r="H110" s="75" t="s">
        <v>168</v>
      </c>
      <c r="I110" s="403" t="s">
        <v>535</v>
      </c>
    </row>
    <row r="111" spans="1:9">
      <c r="A111" s="212">
        <v>46111</v>
      </c>
      <c r="B111" s="75" t="s">
        <v>128</v>
      </c>
      <c r="C111" s="75" t="s">
        <v>102</v>
      </c>
      <c r="D111" s="75"/>
      <c r="E111" s="94">
        <v>100000</v>
      </c>
      <c r="F111" s="94"/>
      <c r="G111" s="214">
        <f t="shared" si="1"/>
        <v>1233324</v>
      </c>
      <c r="H111" s="75" t="s">
        <v>882</v>
      </c>
      <c r="I111" s="124" t="s">
        <v>908</v>
      </c>
    </row>
    <row r="112" spans="1:9">
      <c r="A112" s="212">
        <v>46111</v>
      </c>
      <c r="B112" s="75" t="s">
        <v>129</v>
      </c>
      <c r="C112" s="75" t="s">
        <v>102</v>
      </c>
      <c r="D112" s="75"/>
      <c r="E112" s="94">
        <v>100000</v>
      </c>
      <c r="F112" s="94"/>
      <c r="G112" s="214">
        <f t="shared" si="1"/>
        <v>1133324</v>
      </c>
      <c r="H112" s="75" t="s">
        <v>129</v>
      </c>
      <c r="I112" s="124" t="s">
        <v>909</v>
      </c>
    </row>
    <row r="113" spans="1:9">
      <c r="A113" s="212">
        <v>46111</v>
      </c>
      <c r="B113" s="75" t="s">
        <v>127</v>
      </c>
      <c r="C113" s="75" t="s">
        <v>102</v>
      </c>
      <c r="D113" s="75"/>
      <c r="E113" s="94">
        <v>100000</v>
      </c>
      <c r="F113" s="94"/>
      <c r="G113" s="214">
        <f t="shared" si="1"/>
        <v>1033324</v>
      </c>
      <c r="H113" s="75" t="s">
        <v>127</v>
      </c>
      <c r="I113" s="124" t="s">
        <v>910</v>
      </c>
    </row>
    <row r="114" spans="1:9">
      <c r="A114" s="212">
        <v>46111</v>
      </c>
      <c r="B114" s="75" t="s">
        <v>124</v>
      </c>
      <c r="C114" s="75" t="s">
        <v>102</v>
      </c>
      <c r="D114" s="75"/>
      <c r="E114" s="94">
        <v>100000</v>
      </c>
      <c r="F114" s="94"/>
      <c r="G114" s="214">
        <f t="shared" si="1"/>
        <v>933324</v>
      </c>
      <c r="H114" s="75" t="s">
        <v>124</v>
      </c>
      <c r="I114" s="124" t="s">
        <v>911</v>
      </c>
    </row>
    <row r="115" spans="1:9">
      <c r="A115" s="212">
        <v>46112</v>
      </c>
      <c r="B115" s="75" t="s">
        <v>111</v>
      </c>
      <c r="C115" s="75" t="s">
        <v>102</v>
      </c>
      <c r="D115" s="75"/>
      <c r="E115" s="94">
        <v>20000</v>
      </c>
      <c r="F115" s="94"/>
      <c r="G115" s="214">
        <f t="shared" si="1"/>
        <v>913324</v>
      </c>
      <c r="H115" s="75" t="s">
        <v>111</v>
      </c>
      <c r="I115" s="124" t="s">
        <v>912</v>
      </c>
    </row>
    <row r="116" spans="1:9">
      <c r="A116" s="212">
        <v>46112</v>
      </c>
      <c r="B116" s="75" t="s">
        <v>168</v>
      </c>
      <c r="C116" s="75" t="s">
        <v>102</v>
      </c>
      <c r="D116" s="75"/>
      <c r="E116" s="94">
        <v>20000</v>
      </c>
      <c r="F116" s="94"/>
      <c r="G116" s="214">
        <f t="shared" si="1"/>
        <v>893324</v>
      </c>
      <c r="H116" s="75" t="s">
        <v>168</v>
      </c>
      <c r="I116" s="124" t="s">
        <v>913</v>
      </c>
    </row>
  </sheetData>
  <autoFilter ref="A1:J116">
    <filterColumn colId="2">
      <filters>
        <filter val="Versement"/>
      </filters>
    </filterColumn>
  </autoFilter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Balance   </vt:lpstr>
      <vt:lpstr>DATA </vt:lpstr>
      <vt:lpstr>Personals balance  </vt:lpstr>
      <vt:lpstr>Individual costs  </vt:lpstr>
      <vt:lpstr>Individual received  </vt:lpstr>
      <vt:lpstr>data ANALYSIS   </vt:lpstr>
      <vt:lpstr>Bank journal  </vt:lpstr>
      <vt:lpstr>Bank reconciliation  </vt:lpstr>
      <vt:lpstr>Cash journal   </vt:lpstr>
      <vt:lpstr>Cash desk closing </vt:lpstr>
      <vt:lpstr>Global data </vt:lpstr>
      <vt:lpstr>Donors table  </vt:lpstr>
      <vt:lpstr>phone credit </vt:lpstr>
      <vt:lpstr>'Bank reconciliation 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Tiffany Gobert</cp:lastModifiedBy>
  <cp:lastPrinted>2026-04-10T15:44:32Z</cp:lastPrinted>
  <dcterms:created xsi:type="dcterms:W3CDTF">2024-11-19T16:31:30Z</dcterms:created>
  <dcterms:modified xsi:type="dcterms:W3CDTF">2026-04-20T10:59:54Z</dcterms:modified>
</cp:coreProperties>
</file>